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omments1.xml" ContentType="application/vnd.openxmlformats-officedocument.spreadsheetml.comments+xml"/>
  <Override PartName="/xl/customProperty1.bin" ContentType="application/vnd.openxmlformats-officedocument.spreadsheetml.customProperty"/>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3.xml" ContentType="application/vnd.openxmlformats-officedocument.spreadsheetml.comments+xml"/>
  <Override PartName="/xl/drawings/drawing7.xml" ContentType="application/vnd.openxmlformats-officedocument.drawing+xml"/>
  <Override PartName="/xl/comments4.xml" ContentType="application/vnd.openxmlformats-officedocument.spreadsheetml.comments+xml"/>
  <Override PartName="/xl/drawings/drawing8.xml" ContentType="application/vnd.openxmlformats-officedocument.drawing+xml"/>
  <Override PartName="/xl/comments5.xml" ContentType="application/vnd.openxmlformats-officedocument.spreadsheetml.comments+xml"/>
  <Override PartName="/xl/drawings/drawing9.xml" ContentType="application/vnd.openxmlformats-officedocument.drawing+xml"/>
  <Override PartName="/xl/comments6.xml" ContentType="application/vnd.openxmlformats-officedocument.spreadsheetml.comments+xml"/>
  <Override PartName="/xl/drawings/drawing10.xml" ContentType="application/vnd.openxmlformats-officedocument.drawing+xml"/>
  <Override PartName="/xl/comments7.xml" ContentType="application/vnd.openxmlformats-officedocument.spreadsheetml.comments+xml"/>
  <Override PartName="/xl/drawings/drawing11.xml" ContentType="application/vnd.openxmlformats-officedocument.drawing+xml"/>
  <Override PartName="/xl/comments8.xml" ContentType="application/vnd.openxmlformats-officedocument.spreadsheetml.comments+xml"/>
  <Override PartName="/xl/drawings/drawing12.xml" ContentType="application/vnd.openxmlformats-officedocument.drawing+xml"/>
  <Override PartName="/xl/comments9.xml" ContentType="application/vnd.openxmlformats-officedocument.spreadsheetml.comments+xml"/>
  <Override PartName="/xl/drawings/drawing13.xml" ContentType="application/vnd.openxmlformats-officedocument.drawing+xml"/>
  <Override PartName="/xl/comments10.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0" yWindow="0" windowWidth="28800" windowHeight="11535" tabRatio="788"/>
  </bookViews>
  <sheets>
    <sheet name="Shift Work Calendar" sheetId="26" r:id="rId1"/>
    <sheet name="January" sheetId="14" r:id="rId2"/>
    <sheet name="February" sheetId="15" r:id="rId3"/>
    <sheet name="March" sheetId="16" r:id="rId4"/>
    <sheet name="April" sheetId="17" r:id="rId5"/>
    <sheet name="May" sheetId="18" r:id="rId6"/>
    <sheet name="June" sheetId="19" r:id="rId7"/>
    <sheet name="July" sheetId="20" r:id="rId8"/>
    <sheet name="August" sheetId="21" r:id="rId9"/>
    <sheet name="September" sheetId="22" r:id="rId10"/>
    <sheet name="October" sheetId="23" r:id="rId11"/>
    <sheet name="November" sheetId="24" r:id="rId12"/>
    <sheet name="December" sheetId="25" r:id="rId13"/>
  </sheets>
  <definedNames>
    <definedName name="AprSun1">DATE('Shift Work Calendar'!CalendarYear,4,1)-WEEKDAY(DATE('Shift Work Calendar'!CalendarYear,4,1))</definedName>
    <definedName name="AugSun1">DATE('Shift Work Calendar'!CalendarYear,8,1)-WEEKDAY(DATE('Shift Work Calendar'!CalendarYear,8,1))</definedName>
    <definedName name="CalendarYear" localSheetId="0">'Shift Work Calendar'!$AC$1</definedName>
    <definedName name="CalendarYear">January!$K$5</definedName>
    <definedName name="ColumnTitleRegion1..H12.1">January!$B$3</definedName>
    <definedName name="ColumnTitleRegion1..H12.10">October!$B$3</definedName>
    <definedName name="ColumnTitleRegion1..H12.11">November!$B$3</definedName>
    <definedName name="ColumnTitleRegion1..H12.12">December!$B$3</definedName>
    <definedName name="ColumnTitleRegion1..H12.2">February!$B$3</definedName>
    <definedName name="ColumnTitleRegion1..H12.3">March!$B$3</definedName>
    <definedName name="ColumnTitleRegion1..H12.4">April!$B$3</definedName>
    <definedName name="ColumnTitleRegion1..H12.5">May!$B$3</definedName>
    <definedName name="ColumnTitleRegion1..H12.6">June!$B$3</definedName>
    <definedName name="ColumnTitleRegion1..H12.7">July!$B$3</definedName>
    <definedName name="ColumnTitleRegion1..H12.8">August!$B$3</definedName>
    <definedName name="ColumnTitleRegion1..H12.9">September!$B$3</definedName>
    <definedName name="ColumnTitleRegion2..C14.1">January!$B$3</definedName>
    <definedName name="ColumnTitleRegion2..C14.10">October!$B$3</definedName>
    <definedName name="ColumnTitleRegion2..C14.11">November!$B$3</definedName>
    <definedName name="ColumnTitleRegion2..C14.12">December!$B$3</definedName>
    <definedName name="ColumnTitleRegion2..C14.2">February!$B$3</definedName>
    <definedName name="ColumnTitleRegion2..C14.3">March!$B$3</definedName>
    <definedName name="ColumnTitleRegion2..C14.4">April!$B$3</definedName>
    <definedName name="ColumnTitleRegion2..C14.5">May!$B$3</definedName>
    <definedName name="ColumnTitleRegion2..C14.6">June!$B$3</definedName>
    <definedName name="ColumnTitleRegion2..C14.7">July!$B$3</definedName>
    <definedName name="ColumnTitleRegion2..C14.8">August!$B$3</definedName>
    <definedName name="ColumnTitleRegion2..C14.9">September!$B$3</definedName>
    <definedName name="DaysAndWeeks">{0,1,2,3,4,5,6} + {0;1;2;3;4;5}*7</definedName>
    <definedName name="DecSun1">DATE('Shift Work Calendar'!CalendarYear,12,1)-WEEKDAY(DATE('Shift Work Calendar'!CalendarYear,12,1))</definedName>
    <definedName name="FebSun1">DATE('Shift Work Calendar'!CalendarYear,2,1)-WEEKDAY(DATE('Shift Work Calendar'!CalendarYear,2,1))</definedName>
    <definedName name="JanSun1">DATE('Shift Work Calendar'!CalendarYear,1,1)-WEEKDAY(DATE('Shift Work Calendar'!CalendarYear,1,1))</definedName>
    <definedName name="JulSun1">DATE('Shift Work Calendar'!CalendarYear,7,1)-WEEKDAY(DATE('Shift Work Calendar'!CalendarYear,7,1))</definedName>
    <definedName name="JunSun1">DATE('Shift Work Calendar'!CalendarYear,6,1)-WEEKDAY(DATE('Shift Work Calendar'!CalendarYear,6,1))</definedName>
    <definedName name="MarSun1">DATE('Shift Work Calendar'!CalendarYear,3,1)-WEEKDAY(DATE('Shift Work Calendar'!CalendarYear,3,1))</definedName>
    <definedName name="MaySun1">DATE('Shift Work Calendar'!CalendarYear,5,1)-WEEKDAY(DATE('Shift Work Calendar'!CalendarYear,5,1))</definedName>
    <definedName name="NovSun1">DATE('Shift Work Calendar'!CalendarYear,11,1)-WEEKDAY(DATE('Shift Work Calendar'!CalendarYear,11,1))</definedName>
    <definedName name="OctSun1">DATE('Shift Work Calendar'!CalendarYear,10,1)-WEEKDAY(DATE('Shift Work Calendar'!CalendarYear,10,1))</definedName>
    <definedName name="Pattern_Start">#REF!</definedName>
    <definedName name="_xlnm.Print_Area" localSheetId="4">April!$A:$I</definedName>
    <definedName name="_xlnm.Print_Area" localSheetId="8">August!$A:$I</definedName>
    <definedName name="_xlnm.Print_Area" localSheetId="12">December!$A:$I</definedName>
    <definedName name="_xlnm.Print_Area" localSheetId="2">February!$A:$I</definedName>
    <definedName name="_xlnm.Print_Area" localSheetId="1">January!$A:$I</definedName>
    <definedName name="_xlnm.Print_Area" localSheetId="7">July!$A:$I</definedName>
    <definedName name="_xlnm.Print_Area" localSheetId="6">June!$A:$I</definedName>
    <definedName name="_xlnm.Print_Area" localSheetId="3">March!$A:$I</definedName>
    <definedName name="_xlnm.Print_Area" localSheetId="5">May!$A:$I</definedName>
    <definedName name="_xlnm.Print_Area" localSheetId="11">November!$A:$I</definedName>
    <definedName name="_xlnm.Print_Area" localSheetId="10">October!$A:$I</definedName>
    <definedName name="_xlnm.Print_Area" localSheetId="9">September!$A:$I</definedName>
    <definedName name="Range_Days">'Shift Work Calendar'!$B$7:$H$12,'Shift Work Calendar'!$J$7:$P$12,'Shift Work Calendar'!$R$7:$X$12,'Shift Work Calendar'!$Z$7:$AF$12,'Shift Work Calendar'!$B$16:$H$21,'Shift Work Calendar'!$J$16:$P$21,'Shift Work Calendar'!$R$16:$X$21,'Shift Work Calendar'!$Z$16:$AF$21,'Shift Work Calendar'!$B$25:$H$30,'Shift Work Calendar'!$J$25:$P$30,'Shift Work Calendar'!$R$25:$X$30,'Shift Work Calendar'!$Z$25:$AF$30</definedName>
    <definedName name="RowTitleRegion1..K3">January!$K$4</definedName>
    <definedName name="SepSun1">DATE('Shift Work Calendar'!CalendarYear,9,1)-WEEKDAY(DATE('Shift Work Calendar'!CalendarYear,9,1))</definedName>
    <definedName name="Shift_Pattern">#REF!</definedName>
    <definedName name="Shift1_Code">#REF!</definedName>
    <definedName name="Shift2_Code">#REF!</definedName>
    <definedName name="Shift3_Code">#REF!</definedName>
    <definedName name="WeekStart">January!$L$5</definedName>
  </definedNames>
  <calcPr calcId="191029"/>
  <extLst>
    <ext xmlns:mx="http://schemas.microsoft.com/office/mac/excel/2008/main" uri="{7523E5D3-25F3-A5E0-1632-64F254C22452}">
      <mx:ArchID Flags="2"/>
    </ext>
  </extLst>
</workbook>
</file>

<file path=xl/calcChain.xml><?xml version="1.0" encoding="utf-8"?>
<calcChain xmlns="http://schemas.openxmlformats.org/spreadsheetml/2006/main">
  <c r="N29" i="26" l="1"/>
  <c r="C29" i="26"/>
  <c r="N19" i="26"/>
  <c r="X19" i="26" l="1"/>
  <c r="AF30" i="26" l="1"/>
  <c r="AE30" i="26"/>
  <c r="AD30" i="26"/>
  <c r="AC30" i="26"/>
  <c r="AB30" i="26"/>
  <c r="AA30" i="26"/>
  <c r="Z30" i="26"/>
  <c r="X30" i="26"/>
  <c r="W30" i="26"/>
  <c r="V30" i="26"/>
  <c r="U30" i="26"/>
  <c r="T30" i="26"/>
  <c r="S30" i="26"/>
  <c r="R30" i="26"/>
  <c r="P30" i="26"/>
  <c r="O30" i="26"/>
  <c r="N30" i="26"/>
  <c r="M30" i="26"/>
  <c r="L30" i="26"/>
  <c r="K30" i="26"/>
  <c r="J30" i="26"/>
  <c r="H30" i="26"/>
  <c r="G30" i="26"/>
  <c r="F30" i="26"/>
  <c r="E30" i="26"/>
  <c r="D30" i="26"/>
  <c r="C30" i="26"/>
  <c r="B30" i="26"/>
  <c r="AF29" i="26"/>
  <c r="AE29" i="26"/>
  <c r="AD29" i="26"/>
  <c r="AC29" i="26"/>
  <c r="AB29" i="26"/>
  <c r="AA29" i="26"/>
  <c r="Z29" i="26"/>
  <c r="X29" i="26"/>
  <c r="W29" i="26"/>
  <c r="V29" i="26"/>
  <c r="U29" i="26"/>
  <c r="T29" i="26"/>
  <c r="S29" i="26"/>
  <c r="R29" i="26"/>
  <c r="P29" i="26"/>
  <c r="O29" i="26"/>
  <c r="M29" i="26"/>
  <c r="L29" i="26"/>
  <c r="K29" i="26"/>
  <c r="J29" i="26"/>
  <c r="H29" i="26"/>
  <c r="G29" i="26"/>
  <c r="F29" i="26"/>
  <c r="E29" i="26"/>
  <c r="D29" i="26"/>
  <c r="B29" i="26"/>
  <c r="AF28" i="26"/>
  <c r="AE28" i="26"/>
  <c r="AD28" i="26"/>
  <c r="AC28" i="26"/>
  <c r="AB28" i="26"/>
  <c r="AA28" i="26"/>
  <c r="Z28" i="26"/>
  <c r="X28" i="26"/>
  <c r="W28" i="26"/>
  <c r="V28" i="26"/>
  <c r="U28" i="26"/>
  <c r="T28" i="26"/>
  <c r="S28" i="26"/>
  <c r="R28" i="26"/>
  <c r="P28" i="26"/>
  <c r="O28" i="26"/>
  <c r="N28" i="26"/>
  <c r="M28" i="26"/>
  <c r="L28" i="26"/>
  <c r="K28" i="26"/>
  <c r="J28" i="26"/>
  <c r="H28" i="26"/>
  <c r="G28" i="26"/>
  <c r="F28" i="26"/>
  <c r="E28" i="26"/>
  <c r="D28" i="26"/>
  <c r="C28" i="26"/>
  <c r="B28" i="26"/>
  <c r="AF27" i="26"/>
  <c r="AE27" i="26"/>
  <c r="AD27" i="26"/>
  <c r="AC27" i="26"/>
  <c r="AB27" i="26"/>
  <c r="AA27" i="26"/>
  <c r="Z27" i="26"/>
  <c r="X27" i="26"/>
  <c r="W27" i="26"/>
  <c r="V27" i="26"/>
  <c r="U27" i="26"/>
  <c r="T27" i="26"/>
  <c r="S27" i="26"/>
  <c r="R27" i="26"/>
  <c r="P27" i="26"/>
  <c r="O27" i="26"/>
  <c r="N27" i="26"/>
  <c r="M27" i="26"/>
  <c r="L27" i="26"/>
  <c r="K27" i="26"/>
  <c r="J27" i="26"/>
  <c r="H27" i="26"/>
  <c r="G27" i="26"/>
  <c r="F27" i="26"/>
  <c r="E27" i="26"/>
  <c r="D27" i="26"/>
  <c r="C27" i="26"/>
  <c r="B27" i="26"/>
  <c r="AF26" i="26"/>
  <c r="AE26" i="26"/>
  <c r="AD26" i="26"/>
  <c r="AC26" i="26"/>
  <c r="AB26" i="26"/>
  <c r="AA26" i="26"/>
  <c r="Z26" i="26"/>
  <c r="X26" i="26"/>
  <c r="W26" i="26"/>
  <c r="V26" i="26"/>
  <c r="U26" i="26"/>
  <c r="T26" i="26"/>
  <c r="S26" i="26"/>
  <c r="R26" i="26"/>
  <c r="P26" i="26"/>
  <c r="O26" i="26"/>
  <c r="N26" i="26"/>
  <c r="M26" i="26"/>
  <c r="L26" i="26"/>
  <c r="K26" i="26"/>
  <c r="J26" i="26"/>
  <c r="H26" i="26"/>
  <c r="G26" i="26"/>
  <c r="F26" i="26"/>
  <c r="E26" i="26"/>
  <c r="D26" i="26"/>
  <c r="C26" i="26"/>
  <c r="B26" i="26"/>
  <c r="AF25" i="26"/>
  <c r="AE25" i="26"/>
  <c r="AD25" i="26"/>
  <c r="AC25" i="26"/>
  <c r="AB25" i="26"/>
  <c r="AA25" i="26"/>
  <c r="Z25" i="26"/>
  <c r="X25" i="26"/>
  <c r="W25" i="26"/>
  <c r="V25" i="26"/>
  <c r="U25" i="26"/>
  <c r="T25" i="26"/>
  <c r="S25" i="26"/>
  <c r="R25" i="26"/>
  <c r="P25" i="26"/>
  <c r="O25" i="26"/>
  <c r="N25" i="26"/>
  <c r="M25" i="26"/>
  <c r="L25" i="26"/>
  <c r="K25" i="26"/>
  <c r="J25" i="26"/>
  <c r="H25" i="26"/>
  <c r="G25" i="26"/>
  <c r="F25" i="26"/>
  <c r="E25" i="26"/>
  <c r="D25" i="26"/>
  <c r="C25" i="26"/>
  <c r="B25" i="26"/>
  <c r="AF21" i="26"/>
  <c r="AE21" i="26"/>
  <c r="AD21" i="26"/>
  <c r="AC21" i="26"/>
  <c r="AB21" i="26"/>
  <c r="AA21" i="26"/>
  <c r="Z21" i="26"/>
  <c r="X21" i="26"/>
  <c r="W21" i="26"/>
  <c r="V21" i="26"/>
  <c r="U21" i="26"/>
  <c r="T21" i="26"/>
  <c r="S21" i="26"/>
  <c r="R21" i="26"/>
  <c r="P21" i="26"/>
  <c r="O21" i="26"/>
  <c r="N21" i="26"/>
  <c r="M21" i="26"/>
  <c r="L21" i="26"/>
  <c r="K21" i="26"/>
  <c r="J21" i="26"/>
  <c r="H21" i="26"/>
  <c r="G21" i="26"/>
  <c r="F21" i="26"/>
  <c r="E21" i="26"/>
  <c r="D21" i="26"/>
  <c r="C21" i="26"/>
  <c r="B21" i="26"/>
  <c r="AF20" i="26"/>
  <c r="AE20" i="26"/>
  <c r="AD20" i="26"/>
  <c r="AC20" i="26"/>
  <c r="AB20" i="26"/>
  <c r="AA20" i="26"/>
  <c r="Z20" i="26"/>
  <c r="X20" i="26"/>
  <c r="W20" i="26"/>
  <c r="V20" i="26"/>
  <c r="U20" i="26"/>
  <c r="T20" i="26"/>
  <c r="S20" i="26"/>
  <c r="R20" i="26"/>
  <c r="P20" i="26"/>
  <c r="O20" i="26"/>
  <c r="N20" i="26"/>
  <c r="M20" i="26"/>
  <c r="L20" i="26"/>
  <c r="K20" i="26"/>
  <c r="J20" i="26"/>
  <c r="H20" i="26"/>
  <c r="G20" i="26"/>
  <c r="F20" i="26"/>
  <c r="E20" i="26"/>
  <c r="D20" i="26"/>
  <c r="C20" i="26"/>
  <c r="B20" i="26"/>
  <c r="AF19" i="26"/>
  <c r="AE19" i="26"/>
  <c r="AD19" i="26"/>
  <c r="AC19" i="26"/>
  <c r="AB19" i="26"/>
  <c r="AA19" i="26"/>
  <c r="Z19" i="26"/>
  <c r="W19" i="26"/>
  <c r="V19" i="26"/>
  <c r="U19" i="26"/>
  <c r="T19" i="26"/>
  <c r="S19" i="26"/>
  <c r="R19" i="26"/>
  <c r="P19" i="26"/>
  <c r="O19" i="26"/>
  <c r="M19" i="26"/>
  <c r="L19" i="26"/>
  <c r="K19" i="26"/>
  <c r="J19" i="26"/>
  <c r="H19" i="26"/>
  <c r="G19" i="26"/>
  <c r="F19" i="26"/>
  <c r="E19" i="26"/>
  <c r="D19" i="26"/>
  <c r="C19" i="26"/>
  <c r="B19" i="26"/>
  <c r="AF18" i="26"/>
  <c r="AE18" i="26"/>
  <c r="AD18" i="26"/>
  <c r="AC18" i="26"/>
  <c r="AB18" i="26"/>
  <c r="AA18" i="26"/>
  <c r="Z18" i="26"/>
  <c r="X18" i="26"/>
  <c r="W18" i="26"/>
  <c r="V18" i="26"/>
  <c r="U18" i="26"/>
  <c r="T18" i="26"/>
  <c r="S18" i="26"/>
  <c r="R18" i="26"/>
  <c r="P18" i="26"/>
  <c r="O18" i="26"/>
  <c r="N18" i="26"/>
  <c r="M18" i="26"/>
  <c r="L18" i="26"/>
  <c r="K18" i="26"/>
  <c r="J18" i="26"/>
  <c r="H18" i="26"/>
  <c r="G18" i="26"/>
  <c r="F18" i="26"/>
  <c r="E18" i="26"/>
  <c r="D18" i="26"/>
  <c r="C18" i="26"/>
  <c r="B18" i="26"/>
  <c r="AF17" i="26"/>
  <c r="AE17" i="26"/>
  <c r="AD17" i="26"/>
  <c r="AC17" i="26"/>
  <c r="AB17" i="26"/>
  <c r="AA17" i="26"/>
  <c r="Z17" i="26"/>
  <c r="X17" i="26"/>
  <c r="W17" i="26"/>
  <c r="V17" i="26"/>
  <c r="U17" i="26"/>
  <c r="T17" i="26"/>
  <c r="S17" i="26"/>
  <c r="R17" i="26"/>
  <c r="P17" i="26"/>
  <c r="O17" i="26"/>
  <c r="N17" i="26"/>
  <c r="M17" i="26"/>
  <c r="L17" i="26"/>
  <c r="K17" i="26"/>
  <c r="J17" i="26"/>
  <c r="H17" i="26"/>
  <c r="G17" i="26"/>
  <c r="F17" i="26"/>
  <c r="E17" i="26"/>
  <c r="D17" i="26"/>
  <c r="C17" i="26"/>
  <c r="B17" i="26"/>
  <c r="AF16" i="26"/>
  <c r="AE16" i="26"/>
  <c r="AD16" i="26"/>
  <c r="AC16" i="26"/>
  <c r="AB16" i="26"/>
  <c r="AA16" i="26"/>
  <c r="Z16" i="26"/>
  <c r="X16" i="26"/>
  <c r="W16" i="26"/>
  <c r="V16" i="26"/>
  <c r="U16" i="26"/>
  <c r="T16" i="26"/>
  <c r="S16" i="26"/>
  <c r="R16" i="26"/>
  <c r="P16" i="26"/>
  <c r="O16" i="26"/>
  <c r="N16" i="26"/>
  <c r="M16" i="26"/>
  <c r="L16" i="26"/>
  <c r="K16" i="26"/>
  <c r="J16" i="26"/>
  <c r="H16" i="26"/>
  <c r="G16" i="26"/>
  <c r="F16" i="26"/>
  <c r="E16" i="26"/>
  <c r="D16" i="26"/>
  <c r="C16" i="26"/>
  <c r="B16" i="26"/>
  <c r="AF12" i="26"/>
  <c r="AE12" i="26"/>
  <c r="AD12" i="26"/>
  <c r="AC12" i="26"/>
  <c r="AB12" i="26"/>
  <c r="AA12" i="26"/>
  <c r="Z12" i="26"/>
  <c r="X12" i="26"/>
  <c r="W12" i="26"/>
  <c r="V12" i="26"/>
  <c r="U12" i="26"/>
  <c r="T12" i="26"/>
  <c r="S12" i="26"/>
  <c r="R12" i="26"/>
  <c r="P12" i="26"/>
  <c r="O12" i="26"/>
  <c r="N12" i="26"/>
  <c r="M12" i="26"/>
  <c r="L12" i="26"/>
  <c r="K12" i="26"/>
  <c r="J12" i="26"/>
  <c r="H12" i="26"/>
  <c r="G12" i="26"/>
  <c r="F12" i="26"/>
  <c r="E12" i="26"/>
  <c r="D12" i="26"/>
  <c r="C12" i="26"/>
  <c r="B12" i="26"/>
  <c r="AF11" i="26"/>
  <c r="AE11" i="26"/>
  <c r="AD11" i="26"/>
  <c r="AC11" i="26"/>
  <c r="AB11" i="26"/>
  <c r="AA11" i="26"/>
  <c r="Z11" i="26"/>
  <c r="X11" i="26"/>
  <c r="W11" i="26"/>
  <c r="V11" i="26"/>
  <c r="U11" i="26"/>
  <c r="T11" i="26"/>
  <c r="S11" i="26"/>
  <c r="R11" i="26"/>
  <c r="P11" i="26"/>
  <c r="O11" i="26"/>
  <c r="N11" i="26"/>
  <c r="M11" i="26"/>
  <c r="L11" i="26"/>
  <c r="K11" i="26"/>
  <c r="J11" i="26"/>
  <c r="H11" i="26"/>
  <c r="G11" i="26"/>
  <c r="F11" i="26"/>
  <c r="E11" i="26"/>
  <c r="D11" i="26"/>
  <c r="C11" i="26"/>
  <c r="B11" i="26"/>
  <c r="AF10" i="26"/>
  <c r="AE10" i="26"/>
  <c r="AD10" i="26"/>
  <c r="AC10" i="26"/>
  <c r="AB10" i="26"/>
  <c r="AA10" i="26"/>
  <c r="Z10" i="26"/>
  <c r="X10" i="26"/>
  <c r="W10" i="26"/>
  <c r="V10" i="26"/>
  <c r="U10" i="26"/>
  <c r="T10" i="26"/>
  <c r="S10" i="26"/>
  <c r="R10" i="26"/>
  <c r="P10" i="26"/>
  <c r="O10" i="26"/>
  <c r="N10" i="26"/>
  <c r="M10" i="26"/>
  <c r="L10" i="26"/>
  <c r="K10" i="26"/>
  <c r="J10" i="26"/>
  <c r="H10" i="26"/>
  <c r="G10" i="26"/>
  <c r="F10" i="26"/>
  <c r="E10" i="26"/>
  <c r="D10" i="26"/>
  <c r="C10" i="26"/>
  <c r="B10" i="26"/>
  <c r="AF9" i="26"/>
  <c r="AE9" i="26"/>
  <c r="AD9" i="26"/>
  <c r="AC9" i="26"/>
  <c r="AB9" i="26"/>
  <c r="AA9" i="26"/>
  <c r="Z9" i="26"/>
  <c r="X9" i="26"/>
  <c r="W9" i="26"/>
  <c r="V9" i="26"/>
  <c r="U9" i="26"/>
  <c r="T9" i="26"/>
  <c r="S9" i="26"/>
  <c r="R9" i="26"/>
  <c r="P9" i="26"/>
  <c r="O9" i="26"/>
  <c r="N9" i="26"/>
  <c r="M9" i="26"/>
  <c r="L9" i="26"/>
  <c r="K9" i="26"/>
  <c r="J9" i="26"/>
  <c r="H9" i="26"/>
  <c r="G9" i="26"/>
  <c r="F9" i="26"/>
  <c r="E9" i="26"/>
  <c r="D9" i="26"/>
  <c r="C9" i="26"/>
  <c r="B9" i="26"/>
  <c r="AF8" i="26"/>
  <c r="AE8" i="26"/>
  <c r="AD8" i="26"/>
  <c r="AC8" i="26"/>
  <c r="AB8" i="26"/>
  <c r="AA8" i="26"/>
  <c r="Z8" i="26"/>
  <c r="X8" i="26"/>
  <c r="W8" i="26"/>
  <c r="V8" i="26"/>
  <c r="U8" i="26"/>
  <c r="T8" i="26"/>
  <c r="S8" i="26"/>
  <c r="R8" i="26"/>
  <c r="P8" i="26"/>
  <c r="O8" i="26"/>
  <c r="N8" i="26"/>
  <c r="M8" i="26"/>
  <c r="L8" i="26"/>
  <c r="K8" i="26"/>
  <c r="J8" i="26"/>
  <c r="H8" i="26"/>
  <c r="G8" i="26"/>
  <c r="F8" i="26"/>
  <c r="E8" i="26"/>
  <c r="D8" i="26"/>
  <c r="C8" i="26"/>
  <c r="B8" i="26"/>
  <c r="AF7" i="26"/>
  <c r="AE7" i="26"/>
  <c r="AD7" i="26"/>
  <c r="AC7" i="26"/>
  <c r="AB7" i="26"/>
  <c r="AA7" i="26"/>
  <c r="Z7" i="26"/>
  <c r="X7" i="26"/>
  <c r="W7" i="26"/>
  <c r="V7" i="26"/>
  <c r="U7" i="26"/>
  <c r="T7" i="26"/>
  <c r="S7" i="26"/>
  <c r="R7" i="26"/>
  <c r="P7" i="26"/>
  <c r="O7" i="26"/>
  <c r="N7" i="26"/>
  <c r="M7" i="26"/>
  <c r="L7" i="26"/>
  <c r="K7" i="26"/>
  <c r="J7" i="26"/>
  <c r="H7" i="26"/>
  <c r="G7" i="26"/>
  <c r="F7" i="26"/>
  <c r="E7" i="26"/>
  <c r="D7" i="26"/>
  <c r="C7" i="26"/>
  <c r="B7" i="26"/>
  <c r="B3" i="24" l="1"/>
  <c r="B3" i="23"/>
  <c r="B3" i="22"/>
  <c r="B3" i="21"/>
  <c r="B3" i="20"/>
  <c r="B3" i="19" l="1"/>
  <c r="B3" i="18"/>
  <c r="B3" i="17"/>
  <c r="B3" i="16" l="1"/>
  <c r="B3" i="25" l="1"/>
  <c r="B3" i="15" l="1"/>
  <c r="B2" i="17" l="1"/>
  <c r="B2" i="19" l="1"/>
  <c r="B2" i="18"/>
  <c r="B2" i="21"/>
  <c r="B2" i="20"/>
  <c r="B2" i="23"/>
  <c r="B2" i="22"/>
  <c r="B2" i="25"/>
  <c r="B2" i="24"/>
  <c r="B2" i="16"/>
  <c r="B2" i="15"/>
  <c r="B2" i="14"/>
  <c r="B14" i="25"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comments1.xml><?xml version="1.0" encoding="utf-8"?>
<comments xmlns="http://schemas.openxmlformats.org/spreadsheetml/2006/main">
  <authors>
    <author>Author</author>
  </authors>
  <commentList>
    <comment ref="H7" authorId="0" shapeId="0">
      <text>
        <r>
          <rPr>
            <sz val="9"/>
            <color indexed="81"/>
            <rFont val="Tahoma"/>
            <family val="2"/>
          </rPr>
          <t xml:space="preserve">First day to apply for a ballot by mail using </t>
        </r>
        <r>
          <rPr>
            <b/>
            <sz val="9"/>
            <color indexed="81"/>
            <rFont val="Tahoma"/>
            <family val="2"/>
          </rPr>
          <t>Application for a Ballot by Mail (ABBM)</t>
        </r>
        <r>
          <rPr>
            <sz val="9"/>
            <color indexed="81"/>
            <rFont val="Tahoma"/>
            <family val="2"/>
          </rPr>
          <t xml:space="preserve"> or</t>
        </r>
        <r>
          <rPr>
            <b/>
            <sz val="9"/>
            <color indexed="81"/>
            <rFont val="Tahoma"/>
            <family val="2"/>
          </rPr>
          <t xml:space="preserve"> Federal Post Card Application (FPCA). 
</t>
        </r>
        <r>
          <rPr>
            <sz val="9"/>
            <color indexed="81"/>
            <rFont val="Tahoma"/>
            <family val="2"/>
          </rPr>
          <t xml:space="preserve">
Saturday, January 1, 2022*
*First day to file does not move because of New Year’s Day holiday.  An “Annual ABBM” or FPCA for a January or February 2022 election may be filed earlier, but not earlier than the 60th day before the date of the January or February election.</t>
        </r>
      </text>
    </comment>
    <comment ref="AA16" authorId="0" shapeId="0">
      <text>
        <r>
          <rPr>
            <b/>
            <sz val="9"/>
            <color indexed="81"/>
            <rFont val="Tahoma"/>
            <family val="2"/>
          </rPr>
          <t xml:space="preserve">Monday, August 1, 2022 – Monday, October 3, 2022
</t>
        </r>
        <r>
          <rPr>
            <sz val="9"/>
            <color indexed="81"/>
            <rFont val="Tahoma"/>
            <family val="2"/>
          </rPr>
          <t>Recommended timeframe for the county election board in a county with a population of 500,000 or less to appoint the members to the early voting ballot board for the November General Election for state and county officers. 
(Sec. 87.002(c), (d)). Section 87.002(c) of the Election Code does not provide a deadline for the county election board to make such appointments. 
NOTE: This is not a deadline; just a recommendation. October 3 is the recommended deadline because of various notice requirements.
Recommended date that commissioners court in a county with a population of 500,000 or less appoint central counting station manager, tabulation supervisor, and assistants to the tabulation supervisor if it has established a central counting station. 
(Secs. 127.001, 127.002, 127.003, 127.004). NOTE: This is not a deadline; just a recommendation.</t>
        </r>
      </text>
    </comment>
    <comment ref="T17" authorId="0" shapeId="0">
      <text>
        <r>
          <rPr>
            <b/>
            <sz val="9"/>
            <color indexed="81"/>
            <rFont val="Tahoma"/>
            <family val="2"/>
          </rPr>
          <t xml:space="preserve">Tuesday, July 5, 2022 – Monday, October 3, 2022
</t>
        </r>
        <r>
          <rPr>
            <sz val="9"/>
            <color indexed="81"/>
            <rFont val="Tahoma"/>
            <family val="2"/>
          </rPr>
          <t>Recommended timeframe for the county election board in a county with a population of over 500,000 to appoint the members to the early voting ballot board for the November General Election for state and county officers. 
(Sec. 87.002(c), (d)). Section 87.002(c) of the Election Code does not provide a deadline for the county election board to make such appointments. 
NOTE: This is not a deadline; just a recommendation. October 3 is the recommended deadline because of various notice requirements.
NOTE – NEW LAW: SB 1 (2021, 2nd C.S.) amended Section 87.002 to require the early voting ballot board to have an alternate judge. The alternate judge is appointed in the same manner as the presiding judge.
It is also recommended that the commissioners court, in a county with a population of over 500,000, appoint during its July term the central counting station manager, tabulation supervisor, and assistants to the tabulation supervisor if it has established a central counting station. (Secs. 127.001, 127.002, 127.003, 127.004). 
NOTE: This is not a deadline; just a recommendation.</t>
        </r>
        <r>
          <rPr>
            <b/>
            <sz val="9"/>
            <color indexed="81"/>
            <rFont val="Tahoma"/>
            <family val="2"/>
          </rPr>
          <t xml:space="preserve">
</t>
        </r>
      </text>
    </comment>
    <comment ref="AC17" authorId="0" shapeId="0">
      <text>
        <r>
          <rPr>
            <b/>
            <sz val="9"/>
            <color indexed="81"/>
            <rFont val="Tahoma"/>
            <family val="2"/>
          </rPr>
          <t xml:space="preserve">Wednesday, August 10, 2022 (90th day before Election Day)
</t>
        </r>
        <r>
          <rPr>
            <sz val="9"/>
            <color indexed="81"/>
            <rFont val="Tahoma"/>
            <family val="2"/>
          </rPr>
          <t>Last day for eligible political subdivisions to submit Notice of Exemption Under Section 61.013 (PDF) or an Application of Undue Burden Status (PDF) to the Secretary of State for exemption from the accessible voting system requirement. (Sec. 61.013). 
For additional information, consult the most current advisory on this topic, Tex. Sec’y of State Election Advisory No. 2021-02.</t>
        </r>
        <r>
          <rPr>
            <b/>
            <sz val="9"/>
            <color indexed="81"/>
            <rFont val="Tahoma"/>
            <family val="2"/>
          </rPr>
          <t xml:space="preserve">
</t>
        </r>
      </text>
    </comment>
    <comment ref="K18" authorId="0" shapeId="0">
      <text>
        <r>
          <rPr>
            <sz val="9"/>
            <color indexed="81"/>
            <rFont val="Tahoma"/>
            <family val="2"/>
          </rPr>
          <t xml:space="preserve">First day of new term for political party county chairs elected in the March 1, 2022 Primary Election and precinct chairs elected in the May 24, 2022 Primary Runoff Election. (Sec. 171.022(c)).
</t>
        </r>
      </text>
    </comment>
    <comment ref="AE18" authorId="0" shapeId="0">
      <text>
        <r>
          <rPr>
            <b/>
            <sz val="9"/>
            <color indexed="81"/>
            <rFont val="Tahoma"/>
            <family val="2"/>
          </rPr>
          <t xml:space="preserve">Friday, August 19, 2022 (81st day before Election Day, day before 2nd day before filing deadline)
</t>
        </r>
        <r>
          <rPr>
            <sz val="9"/>
            <color indexed="81"/>
            <rFont val="Tahoma"/>
            <family val="2"/>
          </rPr>
          <t>Political Subdivisions Other Than Counties: If a candidate dies on or before this date, his or her name is not placed on the ballot, if the filing deadline is Monday, August 22, 2022. (Sec. 145.094(a)(1)).
NOTE: Section 145.098 states if a candidate dies on or before the deadline for filing an application for a place on the ballot, the authority responsible for preparing the ballots MAY choose to omit the candidate. 
If the authority does choose to omit the candidate’s name from the ballot due to the candidate’s death after August 19, 2022, the deadline for filing an application for a place on the ballot is extended to the fifth day after the filing deadline, Saturday, August 27, 2022. 
This extended deadline only applies to the regular filing deadline. It DOES NOT apply to the write-in deadline.
NOTE: Because the extended deadline for filing an application for a place on the ballot falls on a weekend (Saturday, August 27, 2022), it is extended to the next regular business day, Monday, August 29, 2022. (Sec. 1.006). If the deadline is extended, the Notice of Candidate Filing period will need to be updated.</t>
        </r>
      </text>
    </comment>
    <comment ref="C19" authorId="0" shapeId="0">
      <text>
        <r>
          <rPr>
            <sz val="9"/>
            <color indexed="81"/>
            <rFont val="Tahoma"/>
            <family val="2"/>
          </rPr>
          <t>Deadline for minor party chairs to submit petitions and precinct convention lists to Secretary of State and to the appropriate county clerk (or other county election official) for placement on the ballot.  (Secs. 1.006, 181.005(a), 181.006(b)(3), 182.003, 182.004). 
The deadline is extended to the next regular business day which is Monday, May 23, 2022 due to the 75th day falling on Sunday, May 22, 2022. (Sec. 1.006).</t>
        </r>
      </text>
    </comment>
    <comment ref="N19" authorId="0" shapeId="0">
      <text>
        <r>
          <rPr>
            <b/>
            <sz val="9"/>
            <color indexed="81"/>
            <rFont val="Tahoma"/>
            <family val="2"/>
          </rPr>
          <t>Thursday, June 23, 2022 (30th day before Saturday, July 23, 2022, “first day to file”; 30th day after Runoff Primary Election Day)</t>
        </r>
        <r>
          <rPr>
            <sz val="9"/>
            <color indexed="81"/>
            <rFont val="Tahoma"/>
            <family val="2"/>
          </rPr>
          <t xml:space="preserve">
Counties:  5:00 p.m. — Filing deadline for independent candidate’s application for place on ballot (PDF) and petition (PDF) for the November General Election for state and county officers. (Sec. 142.006). See Independent Candidates Guide. 
Cities, Schools and Other Political Subdivisions: Deadline to post Notice of Deadline to File an Application for Place on the Ballot (PDF) in a public place in a building in which the authority maintains an office. The notice must be posted not later than the 30th day before the first day to file. (Sec. 141.040; Sec. 49.113, Water Code). Note 5.
NOTE - Water Districts: The notice must be posted at the district’s administrative office or at the public place established by the district under Section 49.063 of the Water Code. (Sec. 49.113, Water Code).
NOTE: The delivery, submission, or filing of an application with an employee of the filing authority at the authority’s usual place for conducting official business constitutes filing with the authority. (Sec. 1.007).
NOTE - NEW LAW: HB 3107 (2021, R.S.) requires the authority with whom an application for a place on the ballot is filed to designate an e-mail address in the notice required by Section 141.040 of the Code for the purpose of filing an application for a place on the ballot.
NOTE - NEW LAW: HB 4555 (2021, R.S.) amended Sections 141.031 and 141.039 of the Code by modifying the application requirements related to a candidate’s final felony conviction status and what must be included on the candidate application form. Specifically, candidates will need to provide an indication on their candidate application that the candidate has either not been finally convicted of a felony, or if so convicted, has been pardoned or otherwise released from the resulting disabilities. A person who has been convicted of a felony will need to include with the application proof that the person has been pardoned or otherwise released from the resulting disabilities. The application form must include a statement informing candidates of the requirement to submit this information. Further, the official application form will need to include a statement informing candidates that knowingly providing false information on their application related to their final felony conviction status is a Class B misdemeanor. (Secs. 141.031, 141.039).
School Districts: In addition to the general felony rule at Election Code Sec. 141.001 (finally convicted), a candidate for school board must not have been convicted (finally convicted or otherwise) of specific crimes under the Education Code in time to serve. (Sec. 11.066, Education Code).
</t>
        </r>
        <r>
          <rPr>
            <b/>
            <sz val="9"/>
            <color indexed="81"/>
            <rFont val="Tahoma"/>
            <family val="2"/>
          </rPr>
          <t xml:space="preserve">
</t>
        </r>
      </text>
    </comment>
    <comment ref="X19" authorId="0" shapeId="0">
      <text>
        <r>
          <rPr>
            <b/>
            <sz val="9"/>
            <color indexed="81"/>
            <rFont val="Tahoma"/>
            <family val="2"/>
          </rPr>
          <t xml:space="preserve">Saturday, July 23, 2022 (30th day before Monday, August 22, 2022, regular filing deadline for a place on the ballot)
</t>
        </r>
        <r>
          <rPr>
            <sz val="9"/>
            <color indexed="81"/>
            <rFont val="Tahoma"/>
            <family val="2"/>
          </rPr>
          <t>Counties:  First day to file a Declaration of Write-In Candidacy (PDF) and accompanying filing fee or nominating petition (PDF) in lieu of filing fee with the county judge or Secretary of State, as applicable, for the November General Election for state and county officers. 
(Secs. 146.023, 146.0231, 146.0232, 146.025(a), 172.024, 172.025).  See Write-In Candidates Guide.
Political Subdivisions Other Than Counties: First day to file an application for a place on the ballot or a declaration of write-in candidacy. 
(Secs. 143.007(a), 144.005(a), 146.054, Election Code; Secs. 11.055, 11.056,  130.082(g), 130.0825, Education Code). See Candidacy Filing outline for more details. The following forms are available on the Secretary of State’s website:
Application for Place on City/School/Other Political Subdivision Ballot (PDF)
If your home rule city or special law district allows for a petition, the following petition may be used:  Petition for Place on the City General Election Ballot (PDF)
Declaration of Write-In Candidacy for Cities, School Districts, and other Political Subdivisions (PDF)
NOTE:  Most elective offices now require that a candidate be a registered voter of the territory that the office is elected from as of the filing deadline or as of other statutory deadlines. (Sec. 141.001). For more information on the candidate voter registration requirement, see Voter Registration Requirements for Candidates.
NOTE:  We are often asked how filing can begin if you have not yet ordered the general election.  You do not need to order your general (regularly occurring) election in order for the filing period to begin.
NOTE:  Cities, Schools, and Other Political Subdivisions:  At least part of the candidate filing period will occur during the summer break for school districts. Additionally, there are political subdivisions that do not have office hours on all days of the business week (Monday through Friday) or do not have an office that is open for eight hours each day of the business week.  
The Elections Division recommends that political subdivisions take steps to have someone available for a few hours most days during the candidate filing period to accept filings, and that political subdivisions post a schedule on their websites and on the bulletin boards where notices of meetings are posted of the days and times when someone will be available to accept filings. 
The Elections Division also strongly recommends having someone available at the place of  business on the filing deadline, especially from 2:00 p.m. to 5:00 p.m., if you are otherwise closed. This guideline is based on the office-hour rule under Section 31.122 of the Election Code.  Although a political subdivision may accept applications by mail and fax, without a person there at the office, the political subdivision will not be able to determine which applications were timely filed by 5:00 p.m.
NOTE - NEW LAW: HB 3107 (2021, R.S.) amended Sections 143.004 and 144.003 of the Code to provide that candidate applications, other than those that must be accompanied by a filing fee, may be filed via email. 
The application must be a scanned copy of the candidate application and must be sent to the filing authority’s designated email address for accepting applications. (Secs. 143.004, 144.003).</t>
        </r>
      </text>
    </comment>
    <comment ref="AA19" authorId="0" shapeId="0">
      <text>
        <r>
          <rPr>
            <b/>
            <sz val="9"/>
            <color indexed="81"/>
            <rFont val="Tahoma"/>
            <family val="2"/>
          </rPr>
          <t xml:space="preserve">Monday, August 22, 2022 (78th day before Election Day)
</t>
        </r>
        <r>
          <rPr>
            <sz val="9"/>
            <color indexed="81"/>
            <rFont val="Tahoma"/>
            <family val="2"/>
          </rPr>
          <t>Counties: 5:00 p.m. — Deadline to file as a write-in candidate for the November General Election for state and county officers. (Sec. 146.025(a)). A declaration of write-in candidacy filed by mail is considered to be filed at the time of its receipt by the appropriate authority.  (Sec. 146.025(c)).  See Write-In Candidates Guide. 
Exception:  If a candidate whose name is to appear on the general election ballot dies or is declared ineligible after the third day before the date of the filing deadline above, a declaration of write-in candidacy for the office sought by the deceased or ineligible candidate may be filed not later than 5:00 p.m. of the 75th day before election day. (Sec. 146.025(b)).
Political Subdivisions Other Than Counties: 5:00 p.m. — Last day for a candidate in a political subdivision (other than a county) to file an application for a place on the ballot for general election for officers for most political subdivisions, except as otherwise provided by the Texas Election Code. (Secs. 143.007(c), 144.005(d), Election Code; Sec. 11.055, Education Code; Chapter 286, Health &amp; Safety Code). See Candidacy Filing outline for more details.
NOTE:  A home-rule city’s charter may not provide an alternate candidate filing deadline. (Secs. 143.005(a), 143.007).
NOTE:  An application submitted by mail is considered to be filed at the time of its receipt by the   appropriate filing authority.  (Secs. 143.007(b), 144.005(b)).
Political Subdivisions Other Than Counties (General Election): Deadline for political subdivisions to order a general election to be held on Tuesday, November 8, 2022. (Sec. 3.005). One of the following forms may be used:
Order of General Election for Municipalities (PDF)
Order of General Election for Other Political Subdivisions (Including Schools) (PDF)
Political Subdivisions Other Than Counties (Special Election): Deadline to order a special election on a measure or a special election to fill a vacancy (if authorized to fill vacancies by special election) to be held on the date of the November General Election for state and county officers. An application may not be filed before the special election is ordered, and in addition to the information stated below, the order must state the filing deadline. (Secs. 201.051(b), 201.054(c), (d)). The following forms may be used:
Order of Special Election for Municipalities (PDF)
Order of Special Election for Other Political Subdivisions (Including Schools) (PDF)
NOTE-NEW LAW: HB 4555 (2021, R.S.) amended Sections 141.031 and 141.039 of the Code by modifying the application requirements related to a candidate’s final felony conviction status and what must be included on the candidate application form. Specifically, candidates will need to provide an indication on their candidate application that the candidate has either not been finally convicted of a felony, or if so convicted, has been pardoned or otherwise released from the resulting disabilities. A person who has been convicted of a felony will need to include in the application proof that the person has been pardoned or otherwise released from the resulting disabilities. The application form must include a statement informing candidates of the requirement to submit this information. Further, the official application form will need to include a statement informing candidates that knowingly providing false information on their application related to their final felony conviction status is a Class B misdemeanor. (Secs. 141.031, 141.039).
NOTE - School Districts: In addition to the general felony rule at Election Code Sec. 141.001 (finally convicted), a candidate for school board must not have been convicted (finally convicted or otherwise) of specific crimes under the Education Code in time to serve. (Sec. 11.066, Education Code).
Counties:  Deadline for counties to order a general election or a special election on a measure to be held on Tuesday, November 8, 2022. (Secs. 3.004, 3.005). The following forms may be used:</t>
        </r>
        <r>
          <rPr>
            <b/>
            <sz val="9"/>
            <color indexed="81"/>
            <rFont val="Tahoma"/>
            <family val="2"/>
          </rPr>
          <t xml:space="preserve">
</t>
        </r>
        <r>
          <rPr>
            <sz val="9"/>
            <color indexed="81"/>
            <rFont val="Tahoma"/>
            <family val="2"/>
          </rPr>
          <t>Order of Election for the November General Election (for County &amp; Precinct Officers) (PDF)
Order of Special Election for County-Ordered Measure Elections (PDF)
The order must include:
The date of the election;
The offices or measures to be voted on;
The location of the main early voting polling place, including the street address, room number, and building name. The order must designate which location is the main early voting polling place;
(Recommended) Branch early voting polling places (see Note 8, above);
The dates and hours for early voting (recommended for counties and cities, but required for all other entities);
The dates and hours of any Saturday and Sunday early voting (if applicable, it is recommended that this information be included in the order for counties, but it must be included for all other entities); and</t>
        </r>
        <r>
          <rPr>
            <b/>
            <sz val="9"/>
            <color indexed="81"/>
            <rFont val="Tahoma"/>
            <family val="2"/>
          </rPr>
          <t xml:space="preserve">
</t>
        </r>
        <r>
          <rPr>
            <sz val="9"/>
            <color indexed="81"/>
            <rFont val="Tahoma"/>
            <family val="2"/>
          </rPr>
          <t>The early voting clerk’s official mailing address or street address at which the clerk may receive delivery by common or contract carrier, if different, phone number, e-mail address, and the Internet website, if the early voting clerk has an Internet website.
NOTE-NEW LAW: HB 3107 (2021, R.S.) amended Section 83.010 of the Code to require an election order and the election notice to state the early voting clerk’s official mailing address or street address at which the clerk may receive delivery by common or contract carrier, if different, phone number, e-mail address, and the Internet website, if the early voting clerk has an Internet website. (Sec. 83.010).
NOTE-NEW LAW: HB 3107 (2021, R.S.) amended Section 85.004 of the Code to provide that an election order and election notice must designate which location is the main early voting polling place. (Sec. 85.004).
In addition to the information included above, an order for a debt obligation (bond) election must include (Sec. 3.009): 
the proposition language that will appear on the ballot;
the purpose for which the debt obligations are to be authorized;
the principal amount of the debt obligations to be authorized;
that taxes sufficient to pay the annual principal of and interest on the debt obligations may be imposed;
a statement of the estimated tax rate if the debt obligations are authorized or of the maximum interest rate of the debt obligations or any series of the debt obligations, based on the market conditions at the time of the election order;
the maximum maturity date of the debt obligations to be authorized or that the debt obligations may be issued to mature over a specified number of years not to exceed the maximum number of years authorized by law;</t>
        </r>
        <r>
          <rPr>
            <b/>
            <sz val="9"/>
            <color indexed="81"/>
            <rFont val="Tahoma"/>
            <family val="2"/>
          </rPr>
          <t xml:space="preserve">
</t>
        </r>
        <r>
          <rPr>
            <sz val="9"/>
            <color indexed="81"/>
            <rFont val="Tahoma"/>
            <family val="2"/>
          </rPr>
          <t>the aggregate amount of the outstanding principal of the political subdivision's debt obligations as of the date the election is ordered;
the aggregate amount of the outstanding interest on debt obligations of the political subdivision as of the date the election is ordered, which may be based on the political subdivision’s expectations relative to variable rate debt obligations; and
the ad valorem debt service tax rate for the political subdivision at the time the election is ordered, expressed as an amount per $100 valuation of taxable property.
Recommended date to order the lists of registered voters from the county voter registrar. The list should include both the voters’ residences and mailing addresses in order to conduct early voting by mail. (Sec. 18.006). The political subdivision should confirm that the most recent maps or boundary changes have been provided to the voter registrar.
Recommended date to confirm telephone number for the county voter registrar’s office on election day.
Recommended date to order election supplies, other than ballots. (Subchapter A, Chapter 51).
Political Subdivisions Other Than Counties: Recommended date to appoint presiding and alternate judges. Currently, the Election Code does not establish a deadline for appointing election officials; there is only a notification deadline.  For further information concerning procedures for appointing judges and their alternates, see Sections 32.005, 32.008, and 32.011. General eligibility requirements are found in Subchapter C, Chapter 32. 
In addition to appointing a judge and alternate judge for each election precinct pursuant to Sections 32.001 and 32.005, the governing body must allow the judge to appoint no less than two clerks; however, the alternate judge must serve as one of the clerks as a matter of law.  (Secs. 32.032, 32.033). 
The presiding judge then appoints an additional clerk(s), but not more than the maximum set by the governing body. (Sec. 32.033). Presiding judges and their alternates must be given a Notice of Appointment (PDF) not later than the 20th day after the appointment is made. (Sec. 32.009). If the appointment is for a single election, the notice may be combined with the Writ of Election (PDF), which is required to be delivered to each presiding judge not later than the 15th day before the election, Monday, October 24, 2022. (Secs. 4.007, 32.009(e)). If the notices are combined, both must be delivered by the date required by the earlier notice.
NOTE:  If you are conducting a joint election with the county, please be advised that the Election Code places many requirements on the method of selecting people who must be appointed by the county to work in the November General Election for state and county officers. See Sections 32.002 and 32.034, Election Code.
NOTE - Water Districts: A water district is not required to provide a Notice of Appointment to a presiding judge, as required under Section 32.009, but must provide a Writ of Election (PDF). (Sec. 4.007, Election Code; Sec. 49.110, Water Code).
Recommended date to appoint the presiding judge of the early voting ballot board and alternate presiding judge or to designate the election workers of one election precinct to serve as the early voting ballot board. (Secs. 87.001, 87.002, 87.004). There is no statutory notice requirement for members of the early voting ballot board, but good practice suggests that written notice be given to them.
NOTE – NEW LAW: SB 1 (2021, 2nd C.S.) amended Section 87.002 to require the early voting ballot board to have an alternate judge. The alternate judge is appointed in the same manner as the presiding judge.
Recommended date to appoint the central counting station personnel (manager, tabulation supervisor and assistants to the tabulation supervisor) if applicable. (Secs. 127.002, 127.003, 127.004, 127.005). There is no statutory notice requirement for members of the central counting station, but good practice suggests that written notice be given to them.
Recommended date that local political subdivisions and county election officials meet to discuss contracting for election services or holding a joint election. NOTE: This is not a deadline; just a recommendation.</t>
        </r>
        <r>
          <rPr>
            <b/>
            <sz val="9"/>
            <color indexed="81"/>
            <rFont val="Tahoma"/>
            <family val="2"/>
          </rPr>
          <t xml:space="preserve">
</t>
        </r>
      </text>
    </comment>
    <comment ref="AD19" authorId="0" shapeId="0">
      <text>
        <r>
          <rPr>
            <b/>
            <sz val="9"/>
            <color indexed="81"/>
            <rFont val="Tahoma"/>
            <family val="2"/>
          </rPr>
          <t xml:space="preserve">Thursday, August 25, 2022 (75th day before Election Day, 4th day before recommended ballot drawing date)
</t>
        </r>
        <r>
          <rPr>
            <sz val="9"/>
            <color indexed="81"/>
            <rFont val="Tahoma"/>
            <family val="2"/>
          </rPr>
          <t>Political Subdivisions Other Than Counties and Legislative Vacancies (if any): 6:00 p.m. — Last day to file an application for a place on the ballot or a Declaration of Write-In Candidacy (PDF) in a special election to fill a vacancy to be held on the date of the November General Election for state and county officers. (Sec. 201.054(f), (g)) Note: For future reference, please note that this deadline is not the same for elections held on the May uniform election date or on the November uniform election date in an odd-numbered year.
The authority conducting the ballot position drawing shall provide notice of the date, hour, and place of the drawing to candidates by this date if the drawing is to be conducted on Monday, August 29, 2022, as recommended. (Sec. 52.094(d)). If a candidate in a special election files on this date, they should be given a copy of the notice at the time they file.
NOTE-NEW LAW: Effective September 1, 2021, HB 3107 (2021, R.S.) amended Section 52.094 of the Code to require the authority conducting the drawing to provide notice of the date, hour, and place of the drawing to each candidate by: 1) written notice that is mailed to the address stated on the candidate’s application not later than the fourth day before the date of the drawing; or 2) provided at the time the candidate files an application with the appropriate authority. If notice was not provided at the time the candidate filed an application, the notice may be provided by telephone, if a telephone number is provided on the candidate’s application or by e-mail, if an e-mail address was provided on the candidate’s application. (Sec. 52.094).</t>
        </r>
      </text>
    </comment>
    <comment ref="AE19" authorId="0" shapeId="0">
      <text>
        <r>
          <rPr>
            <b/>
            <sz val="9"/>
            <color indexed="81"/>
            <rFont val="Tahoma"/>
            <family val="2"/>
          </rPr>
          <t xml:space="preserve">Friday, August 26, 2022 (74th day before Election Day)
</t>
        </r>
        <r>
          <rPr>
            <sz val="9"/>
            <color indexed="81"/>
            <rFont val="Tahoma"/>
            <family val="2"/>
          </rPr>
          <t xml:space="preserve">Counties: Deadline for a party nominee or independent candidate in the November General Election for state and county officers to withdraw from the election. (Secs. 145.032, 145.062).
Counties: Last day on which death, declaration of ineligibility, or withdrawal of a party nominee or an independent candidate for the November General Election for state and county officers causes an omission of the candidate’s name from the ballot. (Secs. 145.035, 145.039, 145.064, 145.065).  For certain exceptions regarding deceased candidates, please see Section 145.064(b)).
NOTE: Withdrawal request submitted by mail must be received by appropriate authority by this date. (Sec. 145.001(c)). A withdrawal request must also be sworn, and candidates may use the Certificate of Withdrawal (PDF). (Sec. 145.001(b)).
If a vacancy occurs on or before this date in a state, district, or county office not regularly scheduled for election in 2022, due to death, resignation, or removal of the officeholder, the unexpired term of the office shall be placed on the November 8, 2022 election ballot. (Sec. 202.002(a)). An appointment to fill the vacancy continues until the next succeeding general election and until a successor has been elected and has qualified for the office. Also, depending on the effective date of the vacancy, the office may also be voted on in the next succeeding primary election. (Secs. 202.002(b), 202.004). See Tex. Sec’y of State Election Advisory No. 2021-19.
Political Subdivisions Other Than Counties: 5:00 p.m. — Deadline for write-in candidates to file Declaration of Write-In Candidacy (PDF) for regular officers for city, school district, library district, junior college district, hospital district, common school districts, Chapter 36 and 49 Water Code districts, and other political subdivision elections, unless otherwise provided by law. (Secs. 144.006(b), 146.054(b), 146.055, Election Code; Secs. 11.056, 11.304, 130.0825, Education Code; Secs. 326.0431, 326.0432, Local Government Code; Sec. 285.131, Health and Safety Code; Secs. 36.059, 49.101, 63.0945, Water Code). See Candidacy Filing outline for more details.
NOTE: An application submitted by mail is considered to be filed at the time of its receipt by the appropriate filing authority. (Secs. 143.007(b), 144.005(b)).
Political Subdivisions Other Than Counties: If you plan on holding your ballot position drawing on Monday, August 29, 2022, then your Notice of Drawing for Place on Ballot (PDF) of such drawing should be posted today. The notice must be posted for 72 hours immediately preceding the time of the drawing. (Sec. 52.094(c)).
</t>
        </r>
        <r>
          <rPr>
            <b/>
            <sz val="9"/>
            <color indexed="81"/>
            <rFont val="Tahoma"/>
            <family val="2"/>
          </rPr>
          <t xml:space="preserve">
</t>
        </r>
        <r>
          <rPr>
            <sz val="9"/>
            <color indexed="81"/>
            <rFont val="Tahoma"/>
            <family val="2"/>
          </rPr>
          <t xml:space="preserve">Political Subdivisions Other Than Counties: Recommended first day that a general or special election may be cancelled if all filing deadlines have passed, each candidate for an office listed on the ballot is unopposed (except as discussed below), and write-in votes may be counted only for names appearing on a list of write-in candidates. The Certification of Unopposed Candidates for Other Political Subdivisions (PDF) may be used to certify candidates as unopposed. Also, see our Sample Order of Cancellation (PDF).
A special election of a political subdivision is considered to be a separate election with a separate ballot from a general election for officers of the same political subdivision held at the same time as the special election. Therefore, the fact that there may be a proposition on the ballot will not prevent a cancellation of an election for candidates who are unopposed. (Sec. 2.051(a)). If any members of the political subdivision’s governing body are elected from territorial units, such as single member districts, an election may be cancelled in a particular territorial unit if each candidate for an office that is to appear on the ballot in that territorial unit is unopposed and no opposed at-large race is to appear on the ballot. An unopposed at-large race may be cancelled in an election regardless of whether an opposed race is to appear on the ballot in a particular territorial unit. (Sec. 2.051(b)).  This recommended cancellation deadline considers a regular filing deadline of Monday, August 22, 2022, a special election filing deadline of Thursday, August 25, 2022, and a regular write-in deadline of Friday, August 26, 2022.  For additional information, consult the outline on Cancellation of Election for Local Political Subdivisions.
NOTE – NEW LAW: SB 1 (2021, 2nd C.S.) amended Sections 2.053 and 2.056 of the Texas Election Code to make this cancellation process mandatory, rather than discretionary. For additional information, consult the outline on Cancellation of Election for Local Political Subdivisions.
State and County Offices: The certifying authority must certify, in writing, that a candidate is unopposed in an election for office. The certifying authority is the secretary of state (for statewide or district offices) or the county clerk (for county and precinct offices). If an unopposed candidate is declared elected by the certifying authority, the election for that office is not held and the name of the candidate is listed on the ballot as elected to the office. Offices and names of any candidates declared elected shall be listed separately after the contested races in the election under the heading “Unopposed Candidates Declared Elected.” The candidates shall be grouped according to their respective political party affiliations or status as independents in the same relative order prescribed for the ballot generally. For more information, see Tex. Sec’y of State Election Advisory No. 2022-16.
</t>
        </r>
      </text>
    </comment>
    <comment ref="N20" authorId="0" shapeId="0">
      <text>
        <r>
          <rPr>
            <b/>
            <sz val="9"/>
            <color indexed="81"/>
            <rFont val="Tahoma"/>
            <family val="2"/>
          </rPr>
          <t xml:space="preserve">Thursday, June 30, 2022 (last day in June)
</t>
        </r>
        <r>
          <rPr>
            <sz val="9"/>
            <color indexed="81"/>
            <rFont val="Tahoma"/>
            <family val="2"/>
          </rPr>
          <t>In a county with a population of over 500,000, deadline for party chairs to submit to county commissioners court a list of eligible persons for precinct presiding election and alternate presiding judges for appointments, as well as for presiding and alternate presiding judges of central counting station for appointments for the November General Election for state and county officers. (Secs. 1.006, 32.002(a)(1), (c), 127.005(e)).
Deadline for party chairs to submit to county election officer the list of eligible persons to serve as election officers for the main and any branch early voting location for the November General Election for state and county officers. (Sec. 85.009).
Recommended date that party chairs, in a county with a population of over 500,000, submit to the county election board a list of names of eligible persons to serve on the early voting ballot board for the November General Election for state and county officers. (Sec. 87.002(c), (d)). NOTE: This is not a deadline; just a recommendation.
NOTE – NEW LAW: SB 1 (2021, 2nd C.S.) amended Section 87.002 to require the early voting ballot board to have an alternate judge. The alternate judge is appointed in the same manner as the presiding judge.
NOTE:  A signature verification committee may be appointed at a later date. (Sec. 87.027).
Political Subdivisions Other than Counties:  For recommended date to appoint your presiding election judges, see entry under August 22, 2022.</t>
        </r>
      </text>
    </comment>
    <comment ref="AA20" authorId="0" shapeId="0">
      <text>
        <r>
          <rPr>
            <b/>
            <sz val="9"/>
            <color indexed="81"/>
            <rFont val="Tahoma"/>
            <family val="2"/>
          </rPr>
          <t xml:space="preserve">Monday, August 29, 2022 (71st day before Election Day)
</t>
        </r>
        <r>
          <rPr>
            <sz val="9"/>
            <color indexed="81"/>
            <rFont val="Tahoma"/>
            <family val="2"/>
          </rPr>
          <t xml:space="preserve">Political Subdivisions Other Than Counties: The Elections Division recommends that you hold your ballot position drawing no later than today to determine the order of candidates’ names on the ballot (Sec. 52.094) and that you certify today to the county election officer the offices, propositions (in all necessary languages), and candidates’ names (including the order) as they are to appear on the ballot, if you are contracting to have the county conduct your election or if you are conducting a joint election with the county.
NOTE: After the ballot drawing has occurred, the Elections Division recommends that you proof and test your ballot programming as soon as possible and prior to the deadline to mail a ballot if the political subdivision will be using automatic tabulating equipment to count the mail ballots or if your mail ballots are printed from the same database used to program your precinct scanners and/or DREs (See Note 13 above). The Elections Division also recommends that you provide candidates with copies of ballot proofs so that candidates may verify the correctness of their names, positions sought, and order of names on the ballot.
NOTE: Ballot position for the November General Election for state and county officers is determined by Sections 52.091 and 52.092, Election Code.
Counties: 5:00 p.m. — Deadline for party chair to deliver replacement nominee or nominee to fill vacancy in an unexpired term to the appropriate officer (for a vacancy in an office that would not normally be on the 2022 ballot and that occurred after December 8, 2021 but not later than August 26, 2022). (Secs. 145.036, 145.037(e), 171.022, 201.022, 202.006).  See Texas Sec’y of State Election Advisory No. 2021-19 for further information on this deadline and related procedures.
Political Subdivisions Other Than Counties: 5:00 p.m. — Last day for a candidate to withdraw from a general election, by submission of a notarized Certificate of Withdrawal (PDF) or a notarized letter, or to be declared ineligible.  If a candidate withdraws or is declared ineligible by this date, his or her name is omitted from the ballot. (Secs. 146.054(c), 145.092(f), 145.094(a)(4), 145.096(a)(4)).
Counties and Other Political Subdivisions: 5:00 p.m. — Last day to withdraw as a write-in candidate in the general election for state and county officers, or a general or special election ordered by a political subdivision other than a county. (Secs. 144.006(c), 146.0301, 146.054(c)). Candidates may use the Certificate of Withdrawal (PDF).
</t>
        </r>
      </text>
    </comment>
    <comment ref="AB20" authorId="0" shapeId="0">
      <text>
        <r>
          <rPr>
            <b/>
            <sz val="9"/>
            <color indexed="81"/>
            <rFont val="Tahoma"/>
            <family val="2"/>
          </rPr>
          <t xml:space="preserve">Tuesday, August 30, 2022 (70th day before Election Day)
</t>
        </r>
        <r>
          <rPr>
            <sz val="9"/>
            <color indexed="81"/>
            <rFont val="Tahoma"/>
            <family val="2"/>
          </rPr>
          <t>Legislative Vacancies:  Last day for all candidates (including write-in candidates) to withdraw from a special election to fill a legislative vacancy (if any).  (Secs. 146.083, 145.092(a)).
Political Subdivisions Other Than Counties: 5:00 p.m. —Last day for a candidate to withdraw from a special election, by submission of a notarized Certificate of Withdrawal (PDF) or a notarized letter, or to be declared ineligible.  If a candidate withdraws or is declared ineligible by this date, his or her name is omitted from the ballot. (Sec. 145.092(a)).</t>
        </r>
      </text>
    </comment>
    <comment ref="R21" authorId="0" shapeId="0">
      <text>
        <r>
          <rPr>
            <b/>
            <sz val="9"/>
            <color indexed="81"/>
            <rFont val="Tahoma"/>
            <family val="2"/>
          </rPr>
          <t xml:space="preserve">Sunday, July 31, 2022 (last day “before August”)
</t>
        </r>
        <r>
          <rPr>
            <sz val="9"/>
            <color indexed="81"/>
            <rFont val="Tahoma"/>
            <family val="2"/>
          </rPr>
          <t>In a county with a population of 500,000 or less, deadline for party chairs to submit to county commissioners court list of eligible persons for precinct presiding election and alternate presiding judges for appointments, as well as for presiding and alternate presiding judges of central counting station for appointments for the November General Election for state and county officers. (Secs. 32.002(a)(2), (c), 127.005(e)).  
Recommended date that party chairs in a county with a population of 500,000 or less submit to the county election board a list of names of eligible persons to serve on the early voting ballot board for the November General Election for state and county officers. (Sec. 87.002(c), (d)). 
NOTE: This is not a deadline; just a recommendation.
NOTE – NEW LAW: SB 1 (2021, 2nd C.S.) amended Section 87.002 to require the early voting ballot board to have an alternate judge. The alternate judge is appointed in the same manner as the presiding judge.
NOTE:  A signature verification committee may be appointed at a later date. (Sec. 87.027).
For more information on the appointment procedures for election workers, see Tex. Sec’y of State Election Advisory No. 2021-7.
Recommended date that county election officials and local political subdivisions meet to discuss conducting elections at the same polling locations pursuant to Sections 42.002 &amp; 42.0621. NOTE: This is not a deadline; just a recommendation.</t>
        </r>
      </text>
    </comment>
    <comment ref="F25" authorId="0" shapeId="0">
      <text>
        <r>
          <rPr>
            <b/>
            <sz val="9"/>
            <color indexed="81"/>
            <rFont val="Tahoma"/>
            <family val="2"/>
          </rPr>
          <t xml:space="preserve">Thursday, September 1, 2022 (68th day before Election Day)
</t>
        </r>
        <r>
          <rPr>
            <sz val="9"/>
            <color indexed="81"/>
            <rFont val="Tahoma"/>
            <family val="2"/>
          </rPr>
          <t>Deadline for Secretary of State (federal, state and district offices) and county judge (countywide and precinct offices) to certify names of independent and declared write-in candidates to county election officer for placement on the November 8, 2022 ballot. (Secs. 142.010, 146.029(c)). The following forms may be used:
Certification of Independent Candidates by County Judge [PDF]
Certificate of Write‑in Candidacy (For County and Precinct Offices) [PDF]
Deadline for Secretary of State to certify to county election officer names of party nominees for statewide and district offices for placement on November 8, 2022 ballot, and deadline for Secretary of State to post major party nominees for county and precinct offices. (Secs. 161.008, 172.117).</t>
        </r>
      </text>
    </comment>
    <comment ref="U25" authorId="0" shapeId="0">
      <text>
        <r>
          <rPr>
            <b/>
            <sz val="9"/>
            <color indexed="81"/>
            <rFont val="Tahoma"/>
            <family val="2"/>
          </rPr>
          <t xml:space="preserve">Wednesday, November 2, 2022 (6th day and 4th business day before Election Day)
5:00 p.m. —  Deadline to submit a Request for Election Inspectors (PDF) for election day, Tuesday, November 8, 2022 to the Secretary of State. The request must be a written request by 15 or more registered voters of the county for which the inspector is requested. (Sec. 34.001).
</t>
        </r>
      </text>
    </comment>
    <comment ref="V25" authorId="0" shapeId="0">
      <text>
        <r>
          <rPr>
            <b/>
            <sz val="9"/>
            <color indexed="81"/>
            <rFont val="Tahoma"/>
            <family val="2"/>
          </rPr>
          <t xml:space="preserve">Thursday, November 3, 2022 (5th day before Election Day; day before the last day to vote early in person)
</t>
        </r>
        <r>
          <rPr>
            <sz val="9"/>
            <color indexed="81"/>
            <rFont val="Tahoma"/>
            <family val="2"/>
          </rPr>
          <t>First day a voter is eligible to vote a late ballot if they will be out of their county of residence on election day due to a death in the immediate family (related within 2nd degree of consanguinity or affinity) that occurs on or after this day. The voter may submit the Application for Emergency Early Ballot Due to Death in Family (PDF). (Secs. 103.001, 103.003(b)).  An application may be submitted before the close of business on the day before election day.  (Sec. 103.003).
Deadline for the early voting clerk to receive, by mail, the original of an ABBM that was faxed or emailed or of an FPCA that was faxed on the deadline to apply for a ballot by mail, Friday, October 28, 2022. See Note 15. 
Early voting clerk must post Notice of Delivery of Ballots Voted by Mail (PDF) to the early voting ballot board if materials are to be delivered to the board on Friday, November 4, 2022.  Notice must be posted continuously for 24 hours preceding each delivery to the board. (Secs. 87.0221, 87.0222, 87.023, 87.024, 87.0241).
NOTE:  The Notice of Delivery of Early Voting Balloting Materials serves as notice of the convening of the early voting ballot board.  Your entity should also post notice every time the early voting ballot board reconvenes.</t>
        </r>
      </text>
    </comment>
    <comment ref="W25" authorId="0" shapeId="0">
      <text>
        <r>
          <rPr>
            <b/>
            <sz val="9"/>
            <color indexed="81"/>
            <rFont val="Tahoma"/>
            <family val="2"/>
          </rPr>
          <t xml:space="preserve">Friday, November 4, 2022 (4th day before Election Day)
</t>
        </r>
        <r>
          <rPr>
            <sz val="9"/>
            <color indexed="81"/>
            <rFont val="Tahoma"/>
            <family val="2"/>
          </rPr>
          <t>Last day to vote early by personal appearance. (Sec. 85.001(a)).
Last day to publish notice (PDF) of public test of automatic tabulating equipment, if test will be held on Sunday, November 6, 2022, and if the first test was not previously already completed. The public notice of the test of automatic tabulating equipment must be published at least 48 hours before the test begins. (Sec. 127.096).
After the polls close at the end of early voting, the ballot board and/or central counting station may convene to perform the following activities, depending on the population size of the county:
Counties with a population of 100,000 or more:
First day those counties and political subdivisions conducting a joint election with such a county or conducting an election through a contract for election services with such a county may convene their early voting ballot board and/or central counting station and begin counting ballots; however, the results may not be announced until after the polls close on election day. (Secs. 87.0222, 87.0241).
NOTE: If a county with a population of 100,000 or more is convening their early voting ballot board and/or central counting station early to begin counting ballots, the test of the tabulation equipment will need to be completed at least 48 hours before the equipment is used to count ballots. (Secs. 87.0222, 87.0241, 127.096).
Counties with a population less than 100,000:
First day those counties and political sudbivisions who are not conducting a joint election with a county with a population over 100,000 or conducting an election through a contract for election services with a county with a population over 100,000 may convene their early voting ballot board for processing and qualifying mail ballots, but cannot begin counting the ballots until the polls open on election day. The early voting clerk shall continuously post notice for 24 hours preceding each delivery of voting materials that is to be made before the time for opening the polls on election day. (Secs. 87.0221, 87.023, 87.024, 87.0241). See Notice of Delivery of Early Voting Balloting Materials (PDF).
NOTE – NEW LAW: SB 1 (2021, 2nd C.S.) added Section 87.0411 to provide a procedure by which a voter can correct certain defects in their carrier envelope containing their voted ballot. Not later than the second business day after an early voting ballot board discovers the defect and before the board decides whether to accept or reject a timely delivered ballot under Section 87.041, the board shall: (1) determine if it would be possible for the voter to correct the defect and return the carrier envelope before the time the polls are required to close on election day; and (2) return the carrier envelope to the voter by mail, if the board determines that it would be possible for the voter to correct the defect and return the carrier envelope before the time the polls are required to close on election day. If the board determines that it would not be possible for the voter to correct the defect and return the carrier envelope before the time the polls are required to close on election day, the board may notify the voter of the defect by phone or email and inform the voter that the voter may cancel their mail ballot in accordance with Section 84.032 or come to the early voting clerk’s office in person not later than the sixth day after election day to correct the defect. If the ballot board takes one of the actions described above, the board must take that action with respect to each ballot in the election that to which these options apply. (Sec. 87.0411).  See Note 16.
NOTE – NEW LAW: SB 1 (2021, 2nd C.S.) amended Section 127.1232 to provide that in counties with a population of 100,000 or more, the general custodian of election records shall implement a video surveillance system that retains a record of all areas containing voted ballots: (1) from the time the voted ballots are delivered to the central counting station until the canvass of the precinct election returns; and (2) from the time the voted ballots are delivered to the signature verification committee or early voting ballot board until the canvass of precinct election returns. Video from the surveillance system shall be made available to the public by live stream. The recorded video is considered an election record and shall be retained by the general custodian until the end of the calendar year in which an election is held or until an election contest filed in the county has been resolved, whichever is later. (Sec. 127.1232).</t>
        </r>
      </text>
    </comment>
    <comment ref="AE25" authorId="0" shapeId="0">
      <text>
        <r>
          <rPr>
            <b/>
            <sz val="9"/>
            <color indexed="81"/>
            <rFont val="Tahoma"/>
            <family val="2"/>
          </rPr>
          <t xml:space="preserve">Friday, December 2, 2022 (24th day after Election Day; 10th day after last canvass)
</t>
        </r>
        <r>
          <rPr>
            <sz val="9"/>
            <color indexed="81"/>
            <rFont val="Tahoma"/>
            <family val="2"/>
          </rPr>
          <t xml:space="preserve">Last day for the presiding judge of the early voting ballot board to mail Notice of Outcome to Provisional Voter (PDF) to provisional voters, if the canvass was held on Tuesday, November 22, 2022. Such notices must be delivered to provisional voters by the presiding judge no later than the 10th day after the local canvass. (Sec. 65.059; 1 Tex. Admin. Code § 81.176(e)). </t>
        </r>
      </text>
    </comment>
    <comment ref="G26" authorId="0" shapeId="0">
      <text>
        <r>
          <rPr>
            <b/>
            <sz val="9"/>
            <color indexed="81"/>
            <rFont val="Tahoma"/>
            <family val="2"/>
          </rPr>
          <t xml:space="preserve">Friday, September 9, 2022 (60th day before Election Day)
</t>
        </r>
        <r>
          <rPr>
            <sz val="9"/>
            <color indexed="81"/>
            <rFont val="Tahoma"/>
            <family val="2"/>
          </rPr>
          <t>Political Subdivisions Other Than Counties: Last day for the governing body of a political subdivision to deliver notice of the election to the county election officer and voter registrar of each county in which the political subdivision is wholly or partly located. (Sec. 4.008).
NOTE FOR COUNTIES - Section 4.003 requires that counties post on the county website the notice and list of polling locations of any political subdivision that delivers their notice to the county under Section 4.008. This is regardless of whether the county is contracting with the entity. See Note 8 for more information on the requirements related to the Notice of Election.
NOTE-NEW LAW: HB 3107 (2021, R.S.) requires the notice of election to include the Internet website of the authority conducting the election. (Sec. 4.004(a)).
NOTE-NEW LAW: HB 3107 (2021, R.S.) amended Section 83.010 to require an election order and the election notice to state the early voting clerk’s official mailing address or street address at which the clerk may receive delivery by common or contract carrier, if different, phone number, e-mail address, and the Internet website, if the early voting clerk has an Internet website. (Sec. 83.010) .
Recommended date for county clerk/county elections administrator to deliver an initial list of voters who have submitted annual applications for ballot by mail under Section 86.0015 and scans or photocopies of those applications to the early voting clerk of any political subdivision located within the county that is holding an election on November 8, 2022. The list should only include voters that reside in the political subdivision holding the election. The list should only be created and sent to those political subdivisions that have provided notice of the election to the county clerk/elections administrator. See also, the note below and the entry at Friday, October 28, 2022 for more information about delivery of a final list of voters. See entry at October 27, 2022 for more information on the delivery of copies/images of the applications. The county election officer should transmit copies of the applicable ABBMs and FPCAs through a secure method. This may include hand-delivering the copies, arranging for the local entity to pick up the copies, or utilizing an encrypted email or file transfer protocol. See Answer 17 in Tex. Sec’y of State Election Advisory No. 2022-08.
NOTE:  Section 86.0015 requires the county clerk/elections administrator to provide a list of voters that have submitted an annual application for ballot by mail to all political subdivisions in their county holding an election. The law only applies to elections for which the county clerk/elections administrator is not the early voting clerk via a contract for election services or joint election agreement. The Election Division strongly recommends that the county and political subdivisions discuss the frequency and method for which these lists should be transmitted to ensure that ballots are sent out in a timely manner. Finally, the county clerk/elections administrator must deliver either photocopies or scanned images of the applications (under Section 87.126) to the early voting clerk of the political subdivision before the ballots by mail are delivered to the early voting ballot board for qualifying and counting under Section 87.041.</t>
        </r>
      </text>
    </comment>
    <comment ref="K26" authorId="0" shapeId="0">
      <text>
        <r>
          <rPr>
            <b/>
            <sz val="9"/>
            <color indexed="81"/>
            <rFont val="Tahoma"/>
            <family val="2"/>
          </rPr>
          <t xml:space="preserve">Monday, October 3, 2022 (36th day before Election Day)
</t>
        </r>
        <r>
          <rPr>
            <sz val="9"/>
            <color indexed="81"/>
            <rFont val="Tahoma"/>
            <family val="2"/>
          </rPr>
          <t xml:space="preserve">
Deadline for the Secretary of State to mail each county judge a copy of the Governor’s proclamation ordering the November General Election for state and county officers. (Sec. 3.003(c)).
Counties: Deadline to receive a petition signed by 15 registered voters by the early voting clerk requesting that a signature verification committee be created. A request submitted by mail is considered to be submitted at the time of its receipt by the early voting clerk. (Sec. 87.027(a-1)). The deadline is extended to the next regular business day, Monday, October 3, 2022 due to October 1 falling on Saturday.</t>
        </r>
      </text>
    </comment>
    <comment ref="O26" authorId="0" shapeId="0">
      <text>
        <r>
          <rPr>
            <b/>
            <sz val="9"/>
            <color indexed="81"/>
            <rFont val="Tahoma"/>
            <family val="2"/>
          </rPr>
          <t xml:space="preserve">Friday, October 7, 2022 (32nd day before Election Day)
</t>
        </r>
        <r>
          <rPr>
            <sz val="9"/>
            <color indexed="81"/>
            <rFont val="Tahoma"/>
            <family val="2"/>
          </rPr>
          <t xml:space="preserve">
Recommended date for early voting clerk to issue order calling for appointment of signature verification committee. (Sec. 87.027). This form may be used to issue order: Order Calling for Signature Verification Committee (PDF). 
If the signature verification committee will start meeting on October 19, 2022, early voting clerk must post a copy of the order calling for appointment of the signature verification committee on or before this date, in order to give notice of the meeting. The order must remain posted continuously for at least 10 days before the first day the committee meets. (Sec. 87.027). </t>
        </r>
      </text>
    </comment>
    <comment ref="R26" authorId="0" shapeId="0">
      <text>
        <r>
          <rPr>
            <b/>
            <sz val="9"/>
            <color indexed="81"/>
            <rFont val="Tahoma"/>
            <family val="2"/>
          </rPr>
          <t xml:space="preserve">Sunday, November 6, 2022 (2 days before Election Day)
</t>
        </r>
        <r>
          <rPr>
            <sz val="9"/>
            <color indexed="81"/>
            <rFont val="Tahoma"/>
            <family val="2"/>
          </rPr>
          <t>Last day to conduct public test of automatic tabulation equipment. Per Section 127.093, the test shall be conducted at least 48 hours before the automatic tabulating equipment is used to count ballots voted in an election and was not previously tested. We highly recommend that this test is done on an earlier date to allow time for corrections to programming, if necessary. (See Note 13 above).</t>
        </r>
      </text>
    </comment>
    <comment ref="S26" authorId="0" shapeId="0">
      <text>
        <r>
          <rPr>
            <b/>
            <sz val="9"/>
            <color indexed="81"/>
            <rFont val="Tahoma"/>
            <family val="2"/>
          </rPr>
          <t xml:space="preserve">Monday, November 7, 2022 (1 day before Election Day)
</t>
        </r>
        <r>
          <rPr>
            <sz val="9"/>
            <color indexed="81"/>
            <rFont val="Tahoma"/>
            <family val="2"/>
          </rPr>
          <t>Last day to submit an Application for Emergency Early Ballot Due to Death in Family (PDF). The application must be submitted by the close of business on this day. (Sec. 103.003(b)).
Last day for early voting clerk to mark the precinct list of registered voters with a notation beside each name of voter who voted early, and deliver list to election judges. The early voting clerk must also deliver the precinct early voting list. (Sec. 87.122).  This may be delivered electronically if your county is using an electronic pollbook.
Delivery of Provisional Ballots and Forms: If the voter registrar wants to take possession of the provisional ballots and forms on election night, the voter registrar must inform the custodian of the election records and post a Notice of Delivery of Provisional Ballots (PDF) no later than Monday, November 7, 2022, 24 hours before election day. (1 T.A.C. § 81.174(d)(3)). However, under this type of delivery, the county voter registrar must go to the office of the custodian of election records and pick up the provisional ballots and forms.
NOTE: The general custodian of election records (or the early voting clerk, if applicable) must also post a Notice of Delivery of Provisional Ballots (PDF) at least 24 hours before delivery will occur. (1 T.A.C. § 81.174(b)(1)).</t>
        </r>
      </text>
    </comment>
    <comment ref="T26" authorId="0" shapeId="0">
      <text>
        <r>
          <rPr>
            <b/>
            <sz val="9"/>
            <color indexed="81"/>
            <rFont val="Tahoma"/>
            <family val="2"/>
          </rPr>
          <t xml:space="preserve">Tuesday, November 8,  2022 (Election Day)
</t>
        </r>
        <r>
          <rPr>
            <sz val="9"/>
            <color indexed="81"/>
            <rFont val="Tahoma"/>
            <family val="2"/>
          </rPr>
          <t>7:00 a.m. – 7:00 p.m.
Polls open. (Sec. 41.031).
Voter registrar’s office is open. (Sec. 12.004(c)).
Early voting clerk’s office is open for early voting activities. (Sec. 83.011). A voter may deliver a marked ballot by mail to the early voting clerk’s office while the polls are open on election day. The voter must comply with applicable identification procedures. The identification procedure is the same as that used for personal appearance voting. (Secs. 63.0101, 86.006).
A voter may vote at the main early voting polling place if electronic voting systems are used at regular polling place(s) on election day and the voter has a sickness or physical condition that prevents the voter from voting in the regular manner without personal assistance or a likelihood of injuring the voter’s health. (Secs.104.001, 104.003). However, if the early voting ballots by mail are processed at a location other than the main early voting polling place, the early voting clerk may require the voting to be conducted at that location. (Sec. 104.003).
5:00 p.m.
Deadline for receiving Application for Emergency Early Voting Ballot Due to Sickness or Physical Disability (PDF) for late ballots to be voted by persons who became sick or disabled on or after Thursday, October 27, 2022. (Sec. 102.003(b)).
7:00 p.m.
Regular deadline for receiving early voting ballots by mail. BUT see entry for Wednesday, November 9, 2022 on “late domestic ballots” and entries for Monday, November 14, 2022 on other “late” ballots.
Deadline for receiving late ballots cast by voters who became sick or disabled on or after Thursday, October 27, 2022. (Secs. 86.007(a), 102.006(c)).
Deadline to receive carrier envelopes that have been returned to the voter by mail for corrective action. (Secs. 86.011(d), 87.0271, 87.0411).
NOTE – NEW LAW: SB 1 (2021, 2nd C.S.) amended Section 61.002 to provide that immediately before the opening of the polls on election day, the presiding judge or alternate judge shall confirm that the public counters on each voting machine are set to zero and shall print the tape that shows that there are zero votes for each candidate or measure on the ballot. Immediately after the closing of the polls on election day, the presiding judge or alternate judge shall print the tape to show the number of votes cast for each candidate or measure. Each election judge and alternate judge shall sign the printed tapes. (Sec. 61.002).
NOTE – NEW LAW: SB 1 (2021, 2nd C.S.) requires the presiding judge of the central counting station to provide and attest to a written reconciliation of votes and voters at the close of tabulation for election day and again after the central counting station meets for the last time to process late-arriving ballots by mail and provisional ballots. (Sec. 127.131). Preliminary Election Reconciliation (PDF) – Unofficial Totals form (Election Day). Election Reconciliation Form (PDF) – Official Results (Canvass Form).
NOTE - Receipt of Mail Ballots: All early voting ballots sent by mail from inside the United States that are received by 7:00 p.m. on election day, November 8, 2022, must be counted on election night.  If the carrier envelope does not bear a cancellation mark or a receipt mark, the ballot must arrive before the time the polls are required to close on election day. (Sec. 86.007(a)(1)). If the early voting clerk cannot determine whether a ballot arrived before that deadline, the ballot is considered to have arrived at the time the place at which the carrier envelopes are deposited was last inspected for removal of returned ballots. (Sec. 86.007(b)). The early voting clerk must check the mailbox for early voting mail ballots at least once after the time for regular mail delivery. (Sec. 86.007(b)).
NOTE: An early voting mail ballot that is not received by 7:00 pm on election day may not be counted unless the ballot may be counted late, which applies to late domestic ballots (Sec. 86.007(a)(2)), ballots mailed from outside the United States (Sec. 86.007(d)), and ballots from members of the armed forces and merchant marine of the United States, Texas National Guard or the National Guard of another state or members of the Reserves, as well as their spouses and dependents (Sec. 101.057). See entry for Wednesday, November 9, 2022 on “late domestic ballots,” and entries for Monday, November 14, 2022 on “late” ballots. See Tex. Sec’y of State Election Advisory No. 2018-02.
NOTE - Delivery of Early Voting by Personal Appearance and Mail Ballots: The early voting clerk delivers the voted ballots, the key to the double-locked ballot box, etc., to the early voting ballot board at the time or times specified by the presiding judge of the early voting ballot board, during the hours the polls are open or as soon after the polls close as practicable. (Secs. 87.021, 87.022). The custodian of the key to the second lock of the double-locked early voting ballot box delivers his or her key to the presiding judge of the early voting ballot board on request of the presiding judge. (Secs. 85.032(d), 87.025). The custodian is the sheriff for county elections, elections ordered by the governor, and a primary election (or the county judge in a year when the office of sheriff is on the ballot).  The custodian is the chief of police or city marshal for city elections, and the constable of the justice precinct in which the political subdivision’s main office is located (or the sheriff, if there is no constable), for other political subdivision elections. (Sec. 66.060).  If ballots are to be delivered before election day, the early voting clerk must post Notice of Delivery of Early Voting Balloting Materials (PDF) at least 24 hours before each delivery at the main early voting polling place.
NOTE - Delivery of Early Voting Ballot to Early Voting Ballot Board Before Election Day: Early voting ballots may be delivered to the early voting ballot board at any time after early voting by personal appearance ends.  Mail ballots may be qualified and processed (signatures verified, carrier envelopes opened, and the secrecy envelope containing the ballot placed in a secure location), but they may not be counted until election day. (Secs. 87.0221, 87.0222, 87.023, 87.024, 87.0241). If ballots are to be delivered before election day, the early voting clerk must post notice at least 24 hours before each delivery at the main early voting polling place.
Exception: Counties with a population of 100,000, or more or entities that are having joint elections with counties with a population of 100,000 or more, may process the mail ballots (i.e., qualify, and accept or reject, but not count) as early as the 8th day before the end of the early voting period; in such an election, votes may be counted no earlier than the end of the period for early voting by personal appearance; the results may not be released until the polls close on election day. (Secs. 87.0221, 87.0222, 87.023, 87.024, 87.0241(b), 87.042). If ballots are to be delivered before election day (i.e., after the end of the early-voting-in-person period but before the polls open on election day), the early voting clerk must post notice at least 24 hours before each delivery at the main early voting polling place. (Secs. 87.0221(b), 87.023(b), 87.024(b)).
NOTE – NEW LAW: SB 1 (2021, 2nd C.S.) amended Section 127.1232 to provide that in counties with a population of 100,000 or more (or political subdivisions contracting with a county with a population of 100,000 or more), the general custodian of election records shall implement a video surveillance system that retains a record of all areas containing voted ballots: (1) from the time the voted ballots are delivered to the central counting station until the canvass of the precinct election returns; and (2) from the time the voted ballots are delivered to the signature verification committee or early voting ballot board until the canvass of precinct election returns. Video from the surveillance system shall be made available to the public by live stream. The recorded video is considered an election record and shall be retained by the general custodian until the end of the calendar year in which an election is held or until an election contest filed in the county has been resolved, whichever is later. (Sec. 127.1232).
NOTE - Manual Examination of Ballots Before Processing on Automatic Counting Equipment: The central counting station manager shall direct the manual examination of all electronic voting system ballots to ascertain whether the ballots can be processed in the usual manner or if the ballots need to be duplicated to clearly reflect the voter’s intent. (Sec. 127.125).
NOTE - Testing of Tabulating Equipment: The second test of automatic tabulating equipment used for counting ballots at a central counting station must be conducted immediately before the counting of ballots with equipment begins. The third test must be conducted immediately after the counting is completed. (Secs. 127.093, 127.097, 127.098).
NOTE - Precinct Election Returns: Precinct election returns are delivered to the appropriate authorities after completion. (Secs. 66.053(a), 127.065, 127.066, 127.067).
Transfer of Provisional Ballots to Voter Registrar Election Night: The county voter registrar may take possession of the ballot box(es) or transfer case(s) containing the provisional ballots (or provisional ballot affidavits when DRE systems are used) on election night (instead of on the next business day) by informing the custodian of election records and posting a notice of such election night transfer no later than 24 hours before election day. Under this type of delivery, the voter registrar must go to the office of the custodian and pick up the ballot box(es) or transfer case(s) and associated forms. (Sec. 65.052; 1 T.A.C.§§ 81.172 – 81.174 &amp; 81.176). See Verification of Provisional Ballots and Serial Numbers (PDF).
After the polling place is officially closed and the last person has voted, the presiding judge may from time to time make an unofficial announcement of the total number of votes counted for each candidate and/or for or against each proposition in the order that they appear on the ballot. (Sec. 65.015(a)). The announcement shall be made at the entrance to the polling place. (Sec. 65.015(c)).
NOTE: The authority conducting the election may require or prohibit such announcements. (Sec. 65.015(b)). Unofficial election results must be released by the central counting station as soon as they are available after the polls close, but the presiding judge of the central counting station, in cooperation with the county election officer, may choose to withhold the release of vote totals until the last voter has voted. (Sec. 127.1311).
Last day to post notice of governing authority’s meeting to canvass returns of election if canvass is to take place on Friday, November 11, 2022 (3rd day after election). (Sec. 67.003(b)).  This notice must be posted at least 72 hours before the scheduled time of the meeting. (Secs. 551.002, 551.041, 551.043, Texas Government Code).
Counties, Cities, and School Districts: NEW LAW: SB 1116 (2021, R.S.) amended Chapter 65 of the Election Code by adding Section 65.016 of the Code regarding election results information which must be posted on county, city, and school district websites. A county that holds an election or provides election services for an election for a public entity must post certain information regarding election results on their website after the election. A city or independent school district that holds an election and maintains an Internet website must also post certain information on their website related to election results, even if the county is also posting. All entities must post the required information as soon as practicable after the election. The required information includes:
the results of each election;
the total number of votes cast;
the total number of votes cast for each candidate or for or against each measure;
the total number of votes cast by personal appearance on election day;
the total number of votes cast by personal appearance or mail during the early voting period; and
the total number of counted and uncounted provisional ballots cast. (Sec. 65.016).
We recommend that election results information remain posted on the entity’s main page (or within two clicks of the main page) at least until the next election, and that the information continues to be available for the full 22 month retention period for election records. Entities may choose to make older election results information available on their website. See Note 3.
NOTE: The general custodian of election records for the general election for state and county officers must maintain a list that states the total number of votes cast in each precinct by personal appearance on election day. This list must be available for public inspection not later than the day after election day. This information must be submitted to the Secretary of State and posted in a downloadable format on the Secretary of State’s internet website. (Sec. 66.0021).</t>
        </r>
      </text>
    </comment>
    <comment ref="U26" authorId="0" shapeId="0">
      <text>
        <r>
          <rPr>
            <b/>
            <sz val="9"/>
            <color indexed="81"/>
            <rFont val="Tahoma"/>
            <family val="2"/>
          </rPr>
          <t xml:space="preserve">Wednesday, November 9, 2022 (1st day and 1st business day after Election Day)
</t>
        </r>
        <r>
          <rPr>
            <sz val="9"/>
            <color indexed="81"/>
            <rFont val="Tahoma"/>
            <family val="2"/>
          </rPr>
          <t>5:00 p.m. – Deadline to receive “late domestic ballots” mailed within the United States from non-military voters and from any military voters who submitted an Application for Ballot by Mail (“ABBM”) (not a Federal Postcard Application – “FPCA”), if the carrier envelope was placed for delivery by mail or common or contract carrier AND bears a cancellation mark of a postal service or a receipt mark of a common or contract carrier or a courier indicating a time not later than 7:00 p.m. at the location of the election on election day, November 8, 2022. (Secs. 86.007, 101.057, 101.001). A late domestic ballot cannot be counted if it does not bear a cancellation mark or a receipt mark.</t>
        </r>
        <r>
          <rPr>
            <b/>
            <sz val="9"/>
            <color indexed="81"/>
            <rFont val="Tahoma"/>
            <family val="2"/>
          </rPr>
          <t xml:space="preserve">
</t>
        </r>
        <r>
          <rPr>
            <sz val="9"/>
            <color indexed="81"/>
            <rFont val="Tahoma"/>
            <family val="2"/>
          </rPr>
          <t xml:space="preserve">
NOTE: Because of the deadline to receive “late domestic ballots,” it is imperative that you check your mail at 5:00 PM.   
NOTE – Section 86.007 provides that a marked ballot voted by mail that a voter received due to submitting an ABBM may arrive at the address on the carrier envelope not later than 5:00 p.m. on the day after election day, if the carrier envelope was placed for delivery by mail or common or contract carrier from within the United States and bears a cancellation mark of a postal service or a receipt mark of a common or contract carrier or a courier from not later than 7:00 p.m. at the location of the election on election day.
NOTE:  This deadline does not apply to ballots sent by non-military voters who are overseas but applied for a ballot using an ABBM; these voters have until the 5th day after election day to return their ballots (or the next business day if the 5th day falls on a weekend or legal state or federal holiday). This deadline also does not apply to ballots mailed (domestically or from overseas) by certain members of the military who applied for a ballot using an FPCA; those voters have until the 6th day after election day to return their ballots. See entries for Monday, November 14, 2022. 
Unless the county voter registrar has already taken possession of the provisional ballots prior to this date, the general custodian of election records must deliver the ballot box(es) or transfer case(s) containing the provisional ballots (or provisional ballot affidavits when DRE systems are used), along with the Summary of Provisional Ballots and the List of Provisional Voters for each precinct to the voter registrar by this day. The general custodian of election records makes this delivery to the voter registrar during the voter registrar office’s regular business hours. (Secs. 65.052, 65.053; 1 T.A.C. §§ 81.172 – 81.174, 81.176).
Note for Political Subdivisions Located in More than One County: A political subdivision will have to make delivery of the provisional ballots and forms to the county voter registrar in each county in which the political subdivision is located. (1 T.A.C. §§ 81.172 – 81.174).
NOTE: If the county voter registrar wants to take possession of the provisional ballots and forms on election night (Tuesday, November 8, 2022), the county voter registrar must inform the custodian of the election records and post a notice of the transfer no later than 24 hours before election day. However, under this type of delivery, the county voter registrar must go to the office of the custodian of election records and pick up the provisional ballots and forms. Also, note that the county voter registrar may take possession of provisional ballots prior to election night if ballots are kept separate and may be provided without unlawful entry into ballot box. (1 T.A.C. §§ 81.172 – 81.174).</t>
        </r>
      </text>
    </comment>
    <comment ref="W26" authorId="0" shapeId="0">
      <text>
        <r>
          <rPr>
            <b/>
            <sz val="9"/>
            <color indexed="81"/>
            <rFont val="Tahoma"/>
            <family val="2"/>
          </rPr>
          <t xml:space="preserve">Friday, November 11, 2022 (3rd day after Election Day) (Veterans Day)
</t>
        </r>
        <r>
          <rPr>
            <sz val="9"/>
            <color indexed="81"/>
            <rFont val="Tahoma"/>
            <family val="2"/>
          </rPr>
          <t xml:space="preserve">
The first possible day to conduct official local canvass of returns by governing authority of the political subdivision.  However, the canvass may not be conducted until the ballot board has verified and counted all provisional ballots, if a provisional ballot has been cast in the election, AND the ballot board has finished convening for all late arriving ballots. (Sec. 67.003). See entries for November 9, 2022 and entries for November 14, 2022.  Notice of canvass must be posted at least 72 hours continuously before the canvass is conducted.
NOTE:  If a recount petition has been filed and a winning candidate’s race is involved in the recount, the certificate of election cannot be issued for that race until the recount has been completed. (Secs. 67.016, 212.0331).
Cities, Schools, and Other Political Subdivisions: First day that newly-elected local officers may qualify and assume the duties of their offices. Please note that the canvass must have been completed before an officer can assume office. (Sec. 67.016).  If a political subdivision was able to cancel its election, this is the first day its elected officials can be issued a certificate of election and take the oath of office. (Secs. 2.053(e), 67.003, 67.016). For information on who can administer an oath, please see Chapter 602 of the Government Code.
NOTE: This does not apply to officers of a Type A general law city, who cannot qualify until the 6th day after election day. See entry at Monday, November 14, 2022.</t>
        </r>
      </text>
    </comment>
    <comment ref="AD26" authorId="0" shapeId="0">
      <text>
        <r>
          <rPr>
            <b/>
            <sz val="9"/>
            <color indexed="81"/>
            <rFont val="Tahoma"/>
            <family val="2"/>
          </rPr>
          <t xml:space="preserve">Thursday, December 8, 2022 (30th day after Election Day)
</t>
        </r>
        <r>
          <rPr>
            <sz val="9"/>
            <color indexed="81"/>
            <rFont val="Tahoma"/>
            <family val="2"/>
          </rPr>
          <t xml:space="preserve">
Last day to file electronic precinct-by-precinct returns with the Secretary of State. (Sec. 67.017).
If a Type A municipal officer-elect fails to qualify for office within 30 days after the date of the officer’s election, the office is considered vacant. (Sec. 22.007, Local Government Code).
Last day for the general custodian of election records to electronically submit to the Secretary of State the record of each voter participating in the election. (Sec. 18.069).
NOTE-NEW LAW: HB 3107 (2021, R.S.) amended Section 18.069 of the Code by changing who is responsible for submitting voter history to the Secretary of State from the voter registrar to the general custodian of election records (early voting clerk). (Sec. 18.069).
Last day for the early voting clerk to deliver notice to the Attorney General of any ballot rejected because:
the voter was deceased;
the voter already voted in person in the same election;
the signatures on the carrier envelope and ballot application were not executed by the same person;
the carrier envelope lacked a witness signature;
the carrier envelope certificate was improperly executed by an assistant; or
the early voting ballot board or the signature verification committee determined that another violation of the Election Code occurred.
Notice to the attorney general must include certified copies of the carrier envelope and corresponding ballot application. (Sec. 87.0431). The Office of the Attorney General can be reached via email.</t>
        </r>
      </text>
    </comment>
    <comment ref="C27" authorId="0" shapeId="0">
      <text>
        <r>
          <rPr>
            <b/>
            <sz val="9"/>
            <color indexed="81"/>
            <rFont val="Tahoma"/>
            <family val="2"/>
          </rPr>
          <t xml:space="preserve">Monday, September 12, 2022 (57th day before Election Day; 21st day after August 22, 2022)
</t>
        </r>
        <r>
          <rPr>
            <sz val="9"/>
            <color indexed="81"/>
            <rFont val="Tahoma"/>
            <family val="2"/>
          </rPr>
          <t>Political Subdivisions Other Than Counties: Last day to notify election judges of their appointment if they were appointed, as recommended, on Monday, August 22, 2022. (Secs. 1.006, 32.009(b)). Presiding and alternate judges must be notified (PDF) of their appointment in writing, not later than the 20th day after the date the appointment is made. The deadline is extended to the next regular business day which is Monday, September 12, 2022 due to the 20th day falling on Sunday, September 11, 2022.
The notice of the judge’s duty to conduct the election (Writ of Election (PDF)) pursuant to Section 4.007 may be combined with the above notice, if the appointment is for a single election only. If the notices are NOT combined, then the notice of the judge’s duty to conduct the election (writ of election) must be delivered not later than the 15th day before election day, Monday, October 24, 2022.</t>
        </r>
      </text>
    </comment>
    <comment ref="J27" authorId="0" shapeId="0">
      <text>
        <r>
          <rPr>
            <b/>
            <sz val="9"/>
            <color indexed="81"/>
            <rFont val="Tahoma"/>
            <family val="2"/>
          </rPr>
          <t xml:space="preserve">Sunday, October 9, 2022 (30th day before Election Day)
</t>
        </r>
        <r>
          <rPr>
            <sz val="9"/>
            <color indexed="81"/>
            <rFont val="Tahoma"/>
            <family val="2"/>
          </rPr>
          <t xml:space="preserve">
First day of period during which notice of the general election for state and county officers and other elections must be published in a newspaper of general circulation if method of giving notice is not specified by a law outside the Texas Election Code, and this method of giving notice is selected. The notice for elections ordered by the governor or by an authority of a city or school district must be given by publication in a newspaper in addition to any other method specified by a law outside the Election Code. (Sec. 4.003(a)(1), (c), (d)). This notice may be combined with the other notices you are required to publish. The election notice shall be posted on the political subdivision’s website. See Note 8.  
NOTE-NEW LAW: HB 3107 (2021, R.S.) requires the notice of election to include the Internet website of the authority conducting the election. (Sec. 4.004(a)).
NOTE-NEW LAW: HB 3107 (2021, R.S.) amended Section 83.010 of the Code to require an election order and the election notice to state the early voting clerk’s official mailing address and also the street address at which the clerk may receive delivery by common or contract carrier, if different, phone number, e-mail address, and the Internet website, if the early voting clerk has an Internet website. (Sec. 83.010).
Cities, Schools, and Other Political Subdivisions:  It is strongly recommended that the Notice of Voting Order Priority (PDF) for voters with mobility issues also be posted on the subdivision’s website, if one is maintained by the political subdivision. (Secs. 63.0015, 85.007(d)). For more information on this requirement, see Note 14.
Counties: The recommended time to include this notice on a county website is when the notice of election is also posted on the website. (Secs. 63.0015, 85.007(d)).
NOTE: Notice of Change of Polling Place Location: For elections ordered by the governor or county judge only, if the location of the polling place changes after notice has been given under Section 4.003,   and the county election officer maintains a website to inform voters about elections, the notice of the   change must be posted on the website. The notice on the website must be given not later than the earlier of (1) 24 hours after the location was changed; or (2) 72 hours before the polls open on election day. (Sec.43.061). The Notice of Change to Polling Place (PDF) form may be used for this notice.
NOTE: Notice of Previous Polling Place: If a different polling place is being used than at the previous election held by the same authority, Notice of Change to Polling Place (PDF) must be posted at the entrance of the previous polling place informing voters of the current polling place location, if possible. (Sec. 43.062).</t>
        </r>
      </text>
    </comment>
    <comment ref="L27" authorId="0" shapeId="0">
      <text>
        <r>
          <rPr>
            <b/>
            <sz val="9"/>
            <color indexed="81"/>
            <rFont val="Tahoma"/>
            <family val="2"/>
          </rPr>
          <t xml:space="preserve">Tuesday, October 11, 2022 (28th day before Election Day)
</t>
        </r>
        <r>
          <rPr>
            <sz val="9"/>
            <color indexed="81"/>
            <rFont val="Tahoma"/>
            <family val="2"/>
          </rPr>
          <t>Last day to register to vote for the Tuesday, November 8, 2022 election. (Secs. 1.006, 13.143).  The deadline is extended to the next regular business day which is Tuesday, October 11, 2022 due to the 30th day falling on Sunday, October 9, 2022 and Monday, October 10, 2022 is a holiday, Columbus Day.  (Secs. 13.143(e), 15.025(d)).
NOTE:  A Federal Postcard Application (FPCA (PDF)) also serves as an application for permanent registration under Texas law unless the voter marked “my intent to return is uncertain” (2019 form), or “my return is uncertain” (2017 form). The early voting clerk should make a copy (for mailing ballots, keeping records, etc.), then should forward the original to the county voter registrar, as soon as practicable. (Sec. 101.055; 1 T.A.C. § 81.40(a), (c)(2)).
Last day for a voter to make a change of address that will be effective for the November 8, 2022 election. A voter who submits a change of address after this date may still be eligible to return to his or her previous precinct to vote under “fail-safe” voting, if he or she still resides in the same county and the same local political subdivision, if applicable, conducting the election. (Secs. 15.025, 63.0011).
Recommended last day for early voting clerk to coordinate with the voter registrar receipt of supplemental and registration correction lists, if applicable, or coordinate receipt of revised original list from the voter registrar for early voting by personal appearance. (Secs. 18.001, 18.002, 18.003, 18.004). 
NOTE- Per Sections 18.002 and 18.003 of the Code, supplemental and corrected voter registration lists must be provided as needed to ensure all eligible voters appear on the official list of registered voters. (Secs. 18.002, 18.003).</t>
        </r>
      </text>
    </comment>
    <comment ref="M27" authorId="0" shapeId="0">
      <text>
        <r>
          <rPr>
            <b/>
            <sz val="9"/>
            <color indexed="81"/>
            <rFont val="Tahoma"/>
            <family val="2"/>
          </rPr>
          <t xml:space="preserve">Wednesday, October 12, 2022 (27th day before Election Day)
</t>
        </r>
        <r>
          <rPr>
            <sz val="9"/>
            <color indexed="81"/>
            <rFont val="Tahoma"/>
            <family val="2"/>
          </rPr>
          <t xml:space="preserve">Deadline for the county election board (or governing body of political subdivision, as appropriate) to appoint (PDF) a signature verification committee (if one was ordered by the early voting clerk not later than Friday, October 7, 2022 and not required due to petition by 15 registered voters). See entry under Friday, October 7, 2022. 
The members must be appointed not later than the fifth day after the order was issued by the early voting clerk. The appointing authority must post a notice of the appointment of committee members continuously until the last day the signature verification committee meets. (Sec. 87.027). 
This form may be used for the notice: Notice of Appointment of Signature Verification Committee (PDF). We strongly recommend that all entities create a signature verification committee so that voters will be timely notified of defects in their carrier envelopes.
</t>
        </r>
      </text>
    </comment>
    <comment ref="O27" authorId="0" shapeId="0">
      <text>
        <r>
          <rPr>
            <b/>
            <sz val="9"/>
            <color indexed="81"/>
            <rFont val="Tahoma"/>
            <family val="2"/>
          </rPr>
          <t xml:space="preserve">Friday, October 14, 2022 (25th day before Election Day)
</t>
        </r>
        <r>
          <rPr>
            <sz val="9"/>
            <color indexed="81"/>
            <rFont val="Tahoma"/>
            <family val="2"/>
          </rPr>
          <t>Counties: Deadline for Democratic and Republican County Chairs to submit to the precinct presiding judges for each election day precinct, a list containing at least two persons who are eligible to serve as election clerks, in order to secure appointment of clerks affiliated or aligned with their respective parties. (Sec. 32.034(b)).</t>
        </r>
      </text>
    </comment>
    <comment ref="S27" authorId="0" shapeId="0">
      <text>
        <r>
          <rPr>
            <b/>
            <sz val="9"/>
            <color indexed="81"/>
            <rFont val="Tahoma"/>
            <family val="2"/>
          </rPr>
          <t xml:space="preserve">Monday, November 14, 2022 (6th day after Election Day)
</t>
        </r>
        <r>
          <rPr>
            <sz val="9"/>
            <color indexed="81"/>
            <rFont val="Tahoma"/>
            <family val="2"/>
          </rPr>
          <t>First day that newly-elected officers of Type A general law city may qualify and assume duties of office (per Sec. 22.006, Local Government Code), but see NOTE, below.
NOTE: Council members may take office anytime following the canvass. Section 22.006 of the Texas Local Government Code states that a newly-elected municipal officer of a Type A city may exercise the duties of office beginning the fifth day after the date of the election, excluding Sundays. However, no newly elected official may qualify for office before the official canvass of the election has been conducted (or would have been conducted, in the event of a cancelled election). Section 22.036 of the Texas Local Government Code further requires that the newly-elected governing body of the municipality “meet at the usual meeting place and shall be installed.”
NOTE:  If a recount petition has been filed and a winning candidate’s race is involved in the recount, the certificate of election cannot be issued for that race until the recount has been completed. (Secs. 67.016, 212.0331). For more information, please see our recount outline.
NOTE: If a Type-A municipal officer-elect fails to qualify for office within 30 days after the date of the officer’s election, the office is considered vacant. (Sec. 22.007, Local Government Code). See Thursday, December 8, 2022 entry.
Deadline for ID related provisional voter to (1) present acceptable photo identification to county voter registrar; or (2) if the voter does not possess and cannot reasonably obtain acceptable photo identification, follow the Reasonable Impediment Declaration procedure at the county voter registrar’s office; or (3) execute an affidavit relative to “natural disaster” or “religious objection” in presence of county voter registrar, if applicable; or (4) qualify for the disability exemption, if applicable, with the county voter registrar. (Secs. 65.054, 65.0541).
Last day to receive ballots from non-military and any military voters casting ballots from outside of the United States, who submitted an ABBM, (not an FPCA) AND who placed their ballots in delivery by 7:00 p.m. on election day, Tuesday, November 8, 2022, as evidenced by a postal service cancellation mark or a receipt mark of a common or contract carrier or a courier (Secs. 86.007, 101.057, 101.001).  A late overseas ballot sent by a voter who applied for a ballot using an ABBM (not an FPCA) cannot be counted if it does not bear a cancellation mark or a receipt mark.* 
NOTE:  Section 86.007 provides that a marked ballot voted by mail from outside of the United States by a voter who received the ballot due to submitting an ABBM is considered timely if it is received at the address on the carrier envelope not later than the fifth day after the date of the election. Further, the delivery is considered timely if the carrier envelope or, if applicable, the envelope containing the carrier envelope is properly addressed with postage or handling charges prepaid and bears a cancellation mark of a recognized postal service or a receipt mark of a common or contract carrier or a courier indicating a time by 7:00 p.m. on election day.</t>
        </r>
        <r>
          <rPr>
            <b/>
            <sz val="9"/>
            <color indexed="81"/>
            <rFont val="Tahoma"/>
            <family val="2"/>
          </rPr>
          <t xml:space="preserve">
</t>
        </r>
        <r>
          <rPr>
            <sz val="9"/>
            <color indexed="81"/>
            <rFont val="Tahoma"/>
            <family val="2"/>
          </rPr>
          <t>Last day to receive ballots from non-military voters casting ballots from overseas, who submitted a FPCA, AND who placed their ballots in delivery by 7:00 p.m. on election day, Tuesday, November 8, 2022. (Sec. 86.007(d), (e)).* 
*The deadlines referenced above are extended to the next regular business day which is Monday, November 14, 2022 due to the 5th day falling on a Sunday. (Secs. 1.006, 86.007(d-1)).
Last day to receive carrier envelopes mailed domestically (within the United States) OR overseas from voters who submitted a FPCA AND who are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(Secs. 101.057, 101.001).
NOTE:  Section 101.057 provides that carrier envelopes mailed domestically or overseas from certain military voters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who submitted a Federal Post Card Application (FPCA) may arrive on or before the 6th day after election day.  (Secs. 86.007, 101.057, 101.001).
NOTE: The carrier envelope or, if applicable, the envelope containing the carrier envelope sent by the military members listed above who applied to vote by mail using the FPCA does NOT need to         bear a cancellation or receipt mark in order to be counted.
NOTE – NEW LAW: SB 1 (2021, 2nd C.S.): Last day a voter may come to the early voting clerk’s office in person to correct certain defects on their carrier envelope. (Secs. 87.0271, 87.0411). See Note 16.
Last day to begin the partial manual count for districts using electronic voting systems. This is the last day to begin manual recount of ballots in three precincts or one percent of precincts, whichever is greater. (Sec. 127.201(a), (g)). The count must be completed not later than the 21st day after election day. Results of manual count must be delivered to Secretary of State not later than the 3rd day after the manual count is completed. (Sec. 127.201(e)). No partial manual count needs to be done of ballots cast on DRE voting machines. This deadline is extended to the next regular business day which is Monday, November 14, 2022 due to the initial deadline falling on Veterans Day, November 11, 2022.(Secs. 1.006, 127.201(g)).
NOTE: For information on how to begin the partial manual count, please see Tex. Sec’y of State Election Advisory No. 2018-30.</t>
        </r>
      </text>
    </comment>
    <comment ref="W27" authorId="0" shapeId="0">
      <text>
        <r>
          <rPr>
            <b/>
            <sz val="9"/>
            <color indexed="81"/>
            <rFont val="Tahoma"/>
            <family val="2"/>
          </rPr>
          <t xml:space="preserve">Friday, November 18, 2022 (10th day after Election Day)
</t>
        </r>
        <r>
          <rPr>
            <sz val="9"/>
            <color indexed="81"/>
            <rFont val="Tahoma"/>
            <family val="2"/>
          </rPr>
          <t>Deadline for voter registrar to complete the review of provisional ballots. (1 T.A.C. §§ 81.172 – 81.175).
NOTE-NEW LAW: HB 3107 (2021, R.S.) amended Section 65.052 of the Code to provide that, for the general election for state and county officers, the voter registrar will now have 10 days to review a provisional voter’s eligibility. 
The presiding judge of the EVBB shall mail a Notice of Rejected Ballot (PDF) to voters whose mail ballots were rejected no later than the 10th day after election day or as soon as practicable, depending on when the EVBB last convenes. (Sec. 87.0431).</t>
        </r>
      </text>
    </comment>
    <comment ref="X27" authorId="0" shapeId="0">
      <text>
        <r>
          <rPr>
            <b/>
            <sz val="9"/>
            <color indexed="81"/>
            <rFont val="Tahoma"/>
            <family val="2"/>
          </rPr>
          <t xml:space="preserve">Saturday, November 19, 2022 (11th day after Election Day)
</t>
        </r>
        <r>
          <rPr>
            <sz val="9"/>
            <color indexed="81"/>
            <rFont val="Tahoma"/>
            <family val="2"/>
          </rPr>
          <t>Last day to post notice of governing authority’s meeting to canvass returns of election if canvass is to take place on Tuesday, November 22, 2022 (14th day after election). This notice must be posted at least 72 hours before the scheduled time of the meeting. (Secs. 551.002, 551.041, 551.043, Texas Government Code).
Deadline for custodian of election records or presiding judge of the early voting ballot board to retrieve provisional ballots from county voter registrar. (1 T.A.C. §§ 81.172 – 81.176).</t>
        </r>
      </text>
    </comment>
    <comment ref="AA27" authorId="0" shapeId="0">
      <text>
        <r>
          <rPr>
            <b/>
            <sz val="9"/>
            <color indexed="81"/>
            <rFont val="Tahoma"/>
            <family val="2"/>
          </rPr>
          <t xml:space="preserve">Monday, December 12, 2022 (34th day after Election Day)
</t>
        </r>
        <r>
          <rPr>
            <sz val="9"/>
            <color indexed="81"/>
            <rFont val="Tahoma"/>
            <family val="2"/>
          </rPr>
          <t>Last day for the Governor to conduct the state canvass for the November General Election for state and county. 
Since the actual deadline (the 33rd day) falls on a Sunday, the deadline is moved to the next business day. (Secs. 1.006, 67.012).</t>
        </r>
      </text>
    </comment>
    <comment ref="C28" authorId="0" shapeId="0">
      <text>
        <r>
          <rPr>
            <b/>
            <sz val="9"/>
            <color indexed="81"/>
            <rFont val="Tahoma"/>
            <family val="2"/>
          </rPr>
          <t xml:space="preserve">Monday, September 19, 2022 (50th day before Election Day)
</t>
        </r>
        <r>
          <rPr>
            <sz val="9"/>
            <color indexed="81"/>
            <rFont val="Tahoma"/>
            <family val="2"/>
          </rPr>
          <t>Deadline to challenge the filing of an application for a place on the ballot as to form, content, and procedure. (Sec. 141.034).
NOTE-NEW LAW: HB 3107 (2021, R.S.) amended Section 141.034 of the Code to provide that a candidate application cannot be challenged for “Form, Content, and Procedure” defects after the 50th day before the date of the election for which the application is made. (Sec. 141.034).
Last day to publish notice (PDF) for testing of automatic tabulation equipment testing and logic and accuracy testing (L&amp;A testing) of a voting system that uses direct recording electronic (DRE) voting machines and precinct scanners if test will be completed by recommended deadline of Wednesday, September 21, 2022. Notice of the public tests must be published at least 48 hours before the test begins. (Secs. 127.093, 127.096, 129.022, 129.023). See Note 13, above.</t>
        </r>
        <r>
          <rPr>
            <b/>
            <sz val="9"/>
            <color indexed="81"/>
            <rFont val="Tahoma"/>
            <family val="2"/>
          </rPr>
          <t xml:space="preserve">
Monday, September 19, 2022 - Sunday, December 18, 2022 (50th day before Election Day through 40th day after Election Day)
</t>
        </r>
        <r>
          <rPr>
            <sz val="9"/>
            <color indexed="81"/>
            <rFont val="Tahoma"/>
            <family val="2"/>
          </rPr>
          <t xml:space="preserve">Mandatory Office Hours: Each county clerk, city secretary or secretary of a governing body (or the person performing duties of a secretary) must keep the office open for election duties for at least 3 hours each day, during regular office hours, on regular business days. (Sec. 31.122).
NOTE for Independent School Districts:  A “regular business day” means a day on which the school district’s main business office is regularly open for business.  (Sec. 31.122(b)).
NOTE - Special Elections: In the case of a special election, the office hour rule is triggered starting the    third day after the special election is ordered. (Sec. 31.122).
NOTE-NEW LAW: HB 3107 (2021, R.S.) amended Section 31.096 of the Code, which addresses nontransferable functions under an election services contract. Specifically, an election services contract may not change the political subdivision’s requirement to maintain office hours under Section 31.122. The amendment to Section 31.096 of the Code also allows a county that has contracted with a city to be the custodian of voted ballots for a city election. (Sec. 31.096).
</t>
        </r>
      </text>
    </comment>
    <comment ref="E28" authorId="0" shapeId="0">
      <text>
        <r>
          <rPr>
            <b/>
            <sz val="9"/>
            <color indexed="81"/>
            <rFont val="Tahoma"/>
            <family val="2"/>
          </rPr>
          <t xml:space="preserve">Wednesday, September 21, 2022 (48th day before Election Day)
</t>
        </r>
        <r>
          <rPr>
            <sz val="9"/>
            <color indexed="81"/>
            <rFont val="Tahoma"/>
            <family val="2"/>
          </rPr>
          <t xml:space="preserve">
Recommended date to conduct the first test of the automatic tabulating equipment and for logic and accuracy (L&amp;A test) test on precinct scanners and DREs. (Secs. 127.093, 127.096, 129.022, 129.023). The SOS recommends you complete your first round of testing prior to mailing your mail ballots if those ballots will be counted using automatic tabulation equipment. If you conduct your first round of testing by this date, you must publish notice of the test 48 hours prior to testing.  See Note 13, above.
NOTE-NEW LAW: SB 1 (2021, 2nd C.S.) requires the general custodian of election records to demonstrate, using a representative sample of voting system equipment, that the source code of the equipment has not been altered. (Sec. 129.023(c-1)). See Tex. Sec'y of State Election Advisory No. 2019-23 for more information on voting system procedures.
</t>
        </r>
      </text>
    </comment>
    <comment ref="H28" authorId="0" shapeId="0">
      <text>
        <r>
          <rPr>
            <b/>
            <sz val="9"/>
            <color indexed="81"/>
            <rFont val="Tahoma"/>
            <family val="2"/>
          </rPr>
          <t>Saturday, September 24, 2022 (45th day before Election Day)</t>
        </r>
        <r>
          <rPr>
            <sz val="9"/>
            <color indexed="81"/>
            <rFont val="Tahoma"/>
            <family val="2"/>
          </rPr>
          <t xml:space="preserve">
Deadline to mail ballots to military or overseas voters who already submitted their ballot requests via a federal postcard application (FPCA) or via a standard application for ballot by mail (ABBM) and indicated that they are outside the United States.  If the early voting clerk cannot meet this 45th-day deadline, the clerk must notify the Secretary of State within 24 hours. (Sec. 86.004(b)).
NOTE: The 45th Day deadline under Section 86.004(b) is not extended by Section 1.006 to the next business day. The ballots covered by Section 86.004(b) should be sent out on or before Saturday, September 24, 2022.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NOTE-NEW LAW: HB 3107 (2021, R.S.) amended Section 101.052 of the Code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Reminder Regarding FPCAs and Overseas ABBMs:  If the EV clerk receives an FPCA (from a military or non-military voter) or an ABBM from an overseas voter after the 45th day deadline, then the ballot must be mailed within seven days after the EV clerk receives the FPCA or ABBM. (Secs. 86.004(b), 101.104).
Reminder: In regards to mail ballots for other voters (not military voters using an FPCA or overseas voters using an FPCA or ABBM), the early voting clerk must mail a ballot not later than the 7th day after the later of: (1) the date the early voting clerk has accepted a voter’s application for a ballot by mail or (2) the date the ballots become available for mailing. However, if the 7th day falls earlier than the 37th day before election day, the voter’s mail ballot must be mailed no later than the 30th day before election day. (Sec. 86.004(a)). This means that for every application that is accepted by the early voting clerk before the 37th day before election day, the balloting materials must be mailed by the 30th day before election day. Any application that comes in after the 37th day before election day will follow the 7-day timeline in Sec. 86.004.
NOTE: Information on the early voting roster for both early voting in person and early voting by mail must be made available for public inspection and on the county’s website if the county clerk or elections administrator is serving as the early voting clerk. For an election held by a political subdivision in which the county clerk or elections administrator is not serving as the political subdivision’s early voting clerk, then the information on the roster must be made available on the Internet website of the authority ordering the election. The early voting roster shall be posted by 11:00 AM on the day after the information is entered on the roster (for early voting in person) or by 11:00 AM on the day after the early voting clerk receives a ballot voted by mail. If the entity does not maintain a website, the information must be on the bulletin board used for posting notices. (Sec. 87.121).
NOTE-NEW LAW: HB 1622 (2021, R.S.) amended Section 87.121 of the Code to provide that if an early voting clerk fails to post their early voting rosters in accordance with Section 87.121, a person registered to vote in the county where the early voting clerk is conducting early voting may file a complaint with the Secretary of State regarding the early voting clerk’s noncompliance. The Secretary of State by rule shall create and maintain a system for receiving and recording these complaints. (Sec. 87.121).
</t>
        </r>
      </text>
    </comment>
    <comment ref="K28" authorId="0" shapeId="0">
      <text>
        <r>
          <rPr>
            <b/>
            <sz val="9"/>
            <color indexed="81"/>
            <rFont val="Tahoma"/>
            <family val="2"/>
          </rPr>
          <t>Monday, October 17, 2022 (22nd day before Election Day)</t>
        </r>
        <r>
          <rPr>
            <sz val="9"/>
            <color indexed="81"/>
            <rFont val="Tahoma"/>
            <family val="2"/>
          </rPr>
          <t xml:space="preserve">
Counties: Deadline for county election board to appoint (PDF) signature verification committee if a valid petition requesting one to be created was presented to the early voting clerk by the deadline, Monday, October 3, 2022. (Sec. 87.027(a-1), (c)).
</t>
        </r>
      </text>
    </comment>
    <comment ref="L28" authorId="0" shapeId="0">
      <text>
        <r>
          <rPr>
            <b/>
            <sz val="9"/>
            <color indexed="81"/>
            <rFont val="Tahoma"/>
            <family val="2"/>
          </rPr>
          <t xml:space="preserve">Tuesday, October 18, 2022 (21st day before Election Day)
</t>
        </r>
        <r>
          <rPr>
            <sz val="9"/>
            <color indexed="81"/>
            <rFont val="Tahoma"/>
            <family val="2"/>
          </rPr>
          <t>Last day to post notice of election on bulletin board used for posting notices of meetings of governing body. (Sec. 4.003(b)).  A Record of Posting Notice of Election (PDF) should be completed at the time of posting.  (Sec. 4.005). See Note on Notice of Elections.
Last day to post notice of election in each election precinct, if the method of giving notice is not specified by a law outside the Election Code and notice is given by this method in lieu of publication. (Sec. 4.003(a)(2)). Cities and school districts must publish their notice in the newspaper. A Record of Posting Notice of Election (PDF) should be completed at the time of posting.  (Sec. 4.005).
NOTE for All Political Subdivisions: The election notice shall be posted on the political subdivision’s website, if the political subdivision maintains a website. The order and notice should include all days and hours for early voting by personal appearance including voting on ANY Saturday or Sunday. (Secs. 85.006, 85.007). Note for counties, the election notice must be subsequently amended to include voting later ordered for ANY Saturday or Sunday and must be posted on the political subdivision’s website, if maintained.
NOTE FOR COUNTIES - Section 4.003 requires that counties post on the county website the notice and list of polling locations of any political subdivision that delivers their notice to the county under Section 4.008. This is regardless of whether the county is contracting with the entity and regardless of whether the entity is conducting their own election or contracting with the county.
For Bond Elections: First day a political subdivision must post on their Internet website prominently and together with the notice of the election, a copy of the sample ballot, and the contents of the proposition, if the political subdivision maintains an Internet website. (Sec. 4.003(f)).
The recommended time to include the notice of accepting voters with certain disabilities on a county website is when the notice of election is also posted on the website. (Secs. 63.0015, 85.007(d)). See Note 14 regarding notice on accepting voters with certain disabilities.
Counties, Cities, and School Districts: NEW LAW: SB 1116 (2021, R.S.) amended Chapter 4 of the Election Code by adding Section 4.009 regarding candidate and polling place information which must be posted on county, city, and school district websites. Last day for a county that holds an election or provides election services for an election to post certain information regarding the upcoming election(s) on the county’s website per Section 4.009. A city or independent school district that holds an election and maintains an Internet website must also post this same election information on their website even if the county is also posting this data. The information posted on the website must include:
the date of the election;
the location of each polling place;
each candidate for an elected office on the ballot; and
each measure on the ballot. (Sec. 4.009).</t>
        </r>
      </text>
    </comment>
    <comment ref="M28" authorId="0" shapeId="0">
      <text>
        <r>
          <rPr>
            <b/>
            <sz val="9"/>
            <color indexed="81"/>
            <rFont val="Tahoma"/>
            <family val="2"/>
          </rPr>
          <t xml:space="preserve">Wednesday, October 19, 2022 (20th day before Election Day; 5th day before the first day of early voting in person)
</t>
        </r>
        <r>
          <rPr>
            <sz val="9"/>
            <color indexed="81"/>
            <rFont val="Tahoma"/>
            <family val="2"/>
          </rPr>
          <t>Counties: Last day to petition for temporary branch polling place(s) in a county with a population of 100,000 to 120,000, if the voting at those branch locations is to begin on the first day of early voting, Monday, October 24, 2022. (Secs. 85.062(d)(3), 85.067).
Counties: Last day to post notice (PDF) of places, days, and hours for voting at branch early voting polling place if voting is to begin at that location on the first day of early voting in person. The schedule may be amended after the beginning of early voting by personal appearance to include notice of additional branch locations, but any amendment must be made and posted not later than the fifth day before voting begins at the additional temporary branch. (Secs. 85.062(d)(3), 85.067(c)).
Last day for a person to apply for a full ballot by mail using an FPCA, if the person is not a registered voter but meets the requirements under Title 2 of the Texas Election Code. (Secs.101.052(e), 101.055(a)). (If the voter marks the FPCA “my intent to return is uncertain” (2019 form) or “my return is uncertain” (2017 form), the voter receives a federal-only ballot.) Postmark with this date on the FPCA is proof that the applicant submitted the FPCA by this deadline. See Monday, October 24, 2022 for timeliness of an FPCA received without a postmark. (Sec. 101.052(e), (i)).
NOTE-NEW LAW: HB 3107 (2021, R.S.) amended Section 101.052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101.001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 Be sure to check the list of registered voters for permanent registration status. Also, state law authorizes an FPCA to also serve as an application for permanent registration; therefore, the person might be permanently registered based on a prior FPCA. Even if the FPCA arrives too late for a particular election, the early voting clerk will still need to forward the original FPCA to the county voter registrar, after making a copy for your early voting clerk’s use (mailing ballots, etc.) and records unless the voter marked “my intent to return is uncertain” (2019 form) or “my return is uncertain” (2017 form), in which case it will not serve as a permanent registration. (Sec. 101.055; 1 T.A.C. § 81.40).
NOTE: Overseas (non-military) voters marking the FPCA “my intent to return is uncertain” (2019 form (PDF), or “my return is uncertain” (2017 form (PDF) receive a federal ballot only regardless of the date filed. (Chapter 114). In a local election (where there is no federal office on the ballot), this means there is no ballot to send the voter.
Last day to publish notice of L&amp;A test for voting systems if test will be held on Friday, October 21, 2022, if testing has was not already completed by September 21, 2022. Notice of the public L&amp;A Test must be published at least 48 hours before the test begins. (Secs. 129.001, 129.023). See Note 13, above.   First day that a signature verification committee, if one is appointed, may begin operating. (Sec. 87.027(f)).</t>
        </r>
      </text>
    </comment>
    <comment ref="N28" authorId="0" shapeId="0">
      <text>
        <r>
          <rPr>
            <b/>
            <sz val="9"/>
            <color indexed="81"/>
            <rFont val="Tahoma"/>
            <family val="2"/>
          </rPr>
          <t xml:space="preserve">Thursday, October 20, 2022 – Friday, October 28, 2022 (19th day before Election Day - 11th day before Election Day)
</t>
        </r>
        <r>
          <rPr>
            <sz val="9"/>
            <color indexed="81"/>
            <rFont val="Tahoma"/>
            <family val="2"/>
          </rPr>
          <t>A person submitting an FPCA (PDF) during this period who is not registered to vote is not entitled to receive a ballot for any non-federal election held on Tuesday, November 8, 2022. See entry below under October 24, 2022 (FPCA without a postmark). (Secs. 84.007, 101.052(e), (f)). The early voting clerk is required to maintain this application since it may be used for other elections.
NOTE-NEW LAW: HB 3107 (2021, R.S.) amended Section 101.052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 Be sure to check the list of registered voters for permanent registration status. Also, state law authorizes an FPCA to also serve as an application for permanent registration; therefore, the person might be permanently registered based on a prior FPCA. Even if the FPCA arrives too late for a particular election, the early voting clerk will still need to forward the original FPCA to the county voter registrar, after making a copy for your early voting clerk’s use (mailing ballots, etc.) and records unless the voter marked “my intent to return is uncertain” (2019 form (PDF), or “my return is uncertain” (2017 form), in which case it will not serve as a permanent registration. (Sec. 101.055; 1 T.A.C. § 81.40).
NOTE: Overseas (non-military) voters marking the FPCA “my intent to return is uncertain” (2019 form (PDF), or “my return is uncertain” (2017 form (PDF) receive a federal ballot only regardless of the date filed. (Chapter 114). In a local election (where there is no federal office on the ballot), this means there is no ballot to send the voter.</t>
        </r>
      </text>
    </comment>
    <comment ref="O28" authorId="0" shapeId="0">
      <text>
        <r>
          <rPr>
            <b/>
            <sz val="9"/>
            <color indexed="81"/>
            <rFont val="Tahoma"/>
            <family val="2"/>
          </rPr>
          <t xml:space="preserve">Friday, October 21, 2022 (18th day before Election Day; at least 48 hours before early voting begins)
</t>
        </r>
        <r>
          <rPr>
            <sz val="9"/>
            <color indexed="81"/>
            <rFont val="Tahoma"/>
            <family val="2"/>
          </rPr>
          <t>If a defective application to vote early by mail is received on or before this date, the early voting clerk must mail the applicant a new application with explanation of defects and instructions for submitting the new application. For defective applications received after this date and before the end of early voting by personal appearance, the early voting clerk must mail only the Notice of Rejected Application for Ballot by Mail (PDF) and a statement that the voter is not entitled to vote early by mail unless he or she submits a sufficient application by the deadline, which is Friday, October 28, 2022. (Secs. 84.007(c), 86.008).
NOTE – NEW LAW: SB 1 (2021, 2nd C.S.) amended Section 86.001 to provide that if the information required by Section 84.002(a)(1-a) included on the application does not identify the same voter identified on the applicant’s voter registration application, the clerk shall reject the application. (Sec. 86.001(f)). If an application is rejected under Section 86.001(f), the clerk shall provide notice of the rejection.The notice must include information regarding the ability to correct or add the required information through the online ballot by mail tracker described in Section 86.015(c). (Sec. 86.001(f-1)). If the applicant corrects the application for ballot by mail online and that application subsequently identifies the same voter identified on the applicant’s voter registration application, the clerk shall provide a ballot to the voter. (Sec. 86.001(f-2)).
Last day to conduct public L&amp;A test of a voting system. We highly recommend that this test is done on an earlier date to allow time for corrections to programming, if necessary. (See Note 13, above). Per Section 129.023, the L&amp;A test shall be conducted not later than 48 hours before voting begins on such voting systems, assuming that the voting system will first be used for early voting in person.</t>
        </r>
      </text>
    </comment>
    <comment ref="S28" authorId="0" shapeId="0">
      <text>
        <r>
          <rPr>
            <b/>
            <sz val="9"/>
            <color indexed="81"/>
            <rFont val="Tahoma"/>
            <family val="2"/>
          </rPr>
          <t xml:space="preserve">Monday, November 21, 2022 (13th day after Election Day)
</t>
        </r>
        <r>
          <rPr>
            <sz val="9"/>
            <color indexed="81"/>
            <rFont val="Tahoma"/>
            <family val="2"/>
          </rPr>
          <t>Last day for early voting ballot board to convene to qualify and count:</t>
        </r>
        <r>
          <rPr>
            <b/>
            <sz val="9"/>
            <color indexed="81"/>
            <rFont val="Tahoma"/>
            <family val="2"/>
          </rPr>
          <t xml:space="preserve">
</t>
        </r>
        <r>
          <rPr>
            <sz val="9"/>
            <color indexed="81"/>
            <rFont val="Tahoma"/>
            <family val="2"/>
          </rPr>
          <t>any late domestic ballots (from non-military and any military voters who submitted an ABBM) that bear a cancellation mark or receipt mark indicating they were placed for delivery by mail or common or contract carrier not later than 7:00 p.m. on election day, November 8, 2022, and were received not later than 5:00 p.m. on the first business day after election day, on Wednesday, November 9, 2022.  (Secs. 86.007(a), 87.125(a)).  
any late ballots that were submitted from outside the United States by voters who applied for the ballot using an ABBM or by non-military voters who applied for the ballot using an FPCA, and which were received by the 5th day after election day, Monday, November 14, 2022. (Secs. 1.006, 87.125(a), 86.007(d)).*
any ballots received by the 6th day after election day, Monday, November 14, 2022, from voters who are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and  who applied for a ballot using an FPCA. (Secs. 101.057, 87.125(a)).
any provisional ballots that have been reviewed by the voter registrar. (Sec. 65.051(a)).
NOTE:  *The deadlines referenced above are extended to the next regular business day which is Monday, November 14, 2022 due to the 5th day falling on a Sunday. (Secs. 1.006, 86.007(d-1)).
NOTE:  Ballots that do not qualify under 1-3 above should be treated as ballots not timely returned and should not be delivered to the ballot board.
NOTE: If the early voting ballot board needs to meet after this date, it will require a court order to do so.
The time the board reconvenes is set by the presiding judge of the early voting ballot board. (Secs. 86.007(d),  87.125).
NOTE-NEW LAW: HB 3107 (2021, R.S.) amended Chapter 65 of the Election Code by adding Section 65.0581 to provide that provisional voting records do not become public information until after the provisional ballots and other voting records have been delivered back to the custodian of election records. (Sec. 65.0581).
NOTE – NEW LAW: SB 1 (2021, 2nd C.S.) requires the presiding judge of the central counting station to provide and attest to a written reconciliation of votes and voters at the close of tabulation for election day and again after the central counting station meets for the last time to process late-arriving ballots by mail and provisional ballots. (Sec. 127.131).  Preliminary Election Reconciliation (PDF) – Unofficial Totals form (Election Day). Election Reconciliation Form (PDF) – Official Results (Canvass Form)
NOTE: We recommend that election results information (including reconciliation forms) remain posted on the entity’s main page (or within two clicks of the main page) at least until the next election, and that the information continues to be available for the full 22 month retention period for election records. Entities may choose to make older election results information available on their website. See Note 3.</t>
        </r>
      </text>
    </comment>
    <comment ref="T28" authorId="0" shapeId="0">
      <text>
        <r>
          <rPr>
            <b/>
            <sz val="9"/>
            <color indexed="81"/>
            <rFont val="Tahoma"/>
            <family val="2"/>
          </rPr>
          <t xml:space="preserve">Tuesday, November 22, 2022 (14th day after Election Day)
</t>
        </r>
        <r>
          <rPr>
            <sz val="9"/>
            <color indexed="81"/>
            <rFont val="Tahoma"/>
            <family val="2"/>
          </rPr>
          <t>Last day for official canvass of returns by governing authority of political subdivision. (Sec. 67.003).
NOTE:  If a recount petition has been filed and a winning candidate’s race is involved in the recount, the certificate of election cannot be issued for that race until the recount has been completed. (Secs. 67.016, 212.0331). For more information, please see our recount outline.</t>
        </r>
      </text>
    </comment>
    <comment ref="U28" authorId="0" shapeId="0">
      <text>
        <r>
          <rPr>
            <b/>
            <sz val="9"/>
            <color indexed="81"/>
            <rFont val="Tahoma"/>
            <family val="2"/>
          </rPr>
          <t xml:space="preserve">Wednesday, November 23, 2022 (15th day after Election Day)
</t>
        </r>
        <r>
          <rPr>
            <sz val="9"/>
            <color indexed="81"/>
            <rFont val="Tahoma"/>
            <family val="2"/>
          </rPr>
          <t>Election records from the November 8, 2022 election must be available in an electronic format no later than this day, for a fee of not more than $50.00. (Sec. 1.012(e)).
NOTE: Voted ballots may not be inspected at this time.Voted ballots must be preserved securely in a locked ballot box inside a locked room for at least 60 days. (Sec. 66.058) (Tex. Att’y Gen. ORD-505 (1988)). After 60 days, the ballots may be transferred to another secure container for the remainder of the 22 month preservation period. See entry at January 8, 2023.</t>
        </r>
      </text>
    </comment>
    <comment ref="X28" authorId="0" shapeId="0">
      <text>
        <r>
          <rPr>
            <b/>
            <sz val="9"/>
            <color indexed="81"/>
            <rFont val="Tahoma"/>
            <family val="2"/>
          </rPr>
          <t xml:space="preserve">Saturday, November 26, 2022 (18th day after Election Day)
</t>
        </r>
        <r>
          <rPr>
            <sz val="9"/>
            <color indexed="81"/>
            <rFont val="Tahoma"/>
            <family val="2"/>
          </rPr>
          <t>First day that Governor may conduct the state canvass of the November General Election for state and county officers. (Sec. 67.012).</t>
        </r>
      </text>
    </comment>
    <comment ref="Z28" authorId="0" shapeId="0">
      <text>
        <r>
          <rPr>
            <b/>
            <sz val="9"/>
            <color indexed="81"/>
            <rFont val="Tahoma"/>
            <family val="2"/>
          </rPr>
          <t xml:space="preserve">Sunday, December 18, 2022 (40th day after Election Day)
</t>
        </r>
        <r>
          <rPr>
            <sz val="9"/>
            <color indexed="81"/>
            <rFont val="Tahoma"/>
            <family val="2"/>
          </rPr>
          <t>Last day of the period for mandatory office hours. See entry for Monday, September 19, 2022. (Sec. 31.122).</t>
        </r>
      </text>
    </comment>
    <comment ref="C29" authorId="0" shapeId="0">
      <text>
        <r>
          <rPr>
            <b/>
            <sz val="9"/>
            <color indexed="81"/>
            <rFont val="Tahoma"/>
            <family val="2"/>
          </rPr>
          <t xml:space="preserve">Monday, September 26, 2022 (43rd day before Election Day, 28th day before early voting begins)
</t>
        </r>
        <r>
          <rPr>
            <sz val="9"/>
            <color indexed="81"/>
            <rFont val="Tahoma"/>
            <family val="2"/>
          </rPr>
          <t>Last day for county chairs to supplement list of names for early voting officer list. (Secs. 1.006, 85.009). The deadline is extended to the next regular business day which is Monday, September 26, 2022 due to September 24, 2022 falling on a Saturday.</t>
        </r>
      </text>
    </comment>
    <comment ref="K29" authorId="0" shapeId="0">
      <text>
        <r>
          <rPr>
            <b/>
            <sz val="9"/>
            <color indexed="81"/>
            <rFont val="Tahoma"/>
            <family val="2"/>
          </rPr>
          <t xml:space="preserve">Monday, October 24, 2022 (15th day before Election Day)
</t>
        </r>
        <r>
          <rPr>
            <sz val="9"/>
            <color indexed="81"/>
            <rFont val="Tahoma"/>
            <family val="2"/>
          </rPr>
          <t>First day to vote early in person. (Sec. 85.001(a), (c))
NOTE: The early voting period for the general election begins 17 days prior to election day, but because this day falls on a weekend (Saturday, October 22, 2022), it is extended to the next regular business day, Monday, October 24, 2022. (Sec. 85.001(c)).
NOTE: In the general election for state and county officers, a certain number of temporary branch locations must be established depending on the population size of the county:
in a county with a population of 400,000 or more, the commissioners court must establish one or more temporary polling places, other than the main early voting polling place, in each state representative district containing territory covered by the election.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in a county with a population of 120,000 or more but less than 400,000, the commissioners court must establish one or more temporary polling places, other than the main early voting polling place, in each commissioners precinct containing territory covered by the election.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or
in a county with a population of 100,000 or more but less than 120,000, the early voting clerk must establish one or more early voting polling places in each commissioners precinct for which the early voting clerk receives a timely filed written request signed by at least 15 registered voters of that precinct.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(Secs. 85.062, 85.064).
NOTE:  If a county has a population under 100,000, voting at a temporary branch polling place may be conducted on any days and during any hours of the period for early voting by personal appearance except that voting</t>
        </r>
        <r>
          <rPr>
            <b/>
            <sz val="9"/>
            <color indexed="81"/>
            <rFont val="Tahoma"/>
            <family val="2"/>
          </rPr>
          <t xml:space="preserve"> </t>
        </r>
        <r>
          <rPr>
            <sz val="9"/>
            <color indexed="81"/>
            <rFont val="Tahoma"/>
            <family val="2"/>
          </rPr>
          <t>at a temporary branch polling place must be conducted on at least two consecutive business days and for at least 8 consecutive hours on each of those days. (Sec. 85.065).
If early voting by personal appearance is required to be conducted for extended hours or for weekend hours, the county voter registrar’s office is required to remain open for providing voter registration information during the extended hours or weekend hours that the main early voting polling place is open for voting. (Secs. 12.004(d), 85.005(c); 85.006(e)).
NOTE: Voting by limited ballot must be done during the early voting period at the main early voting polling place (or by mail). (Sec. 112.002(a)).
Political subdivisions other than cities and counties: Early voting in person must be conducted for at least nine (9) hours each weekday that is not a legal state holiday unless the political subdivision has fewer than 1,000 registered voters, in which case early voting in person must be conducted for at least four (4) hours per day. (Sec. 85.005).
NOTE – NEW LAW: Political Subdivisions Other than Counties: Early voting in person at the main early voting polling place must be conducted for at least nine (9) hours each weekday that is not a legal state holiday unless the political subdivision has fewer than 1,000 registered voters, in which case early voting in person must be conducted for at least four (4) hours per day. (Sec. 85.005(b)).
NOTE – NEW LAW: Counties: Early voting in person must be conducted on each weekday of the early voting period that is not a legal state holiday and for a period of at least nine (9) hours, except that voting may not be conducted earlier than 6:00 AM or later than 10:00 PM. (Sec. 85.005(a)).
NOTE – NEW LAW: Cities: SB 1 (2021, 2nd C.S.) amended Section 85.005(d) to remove the provision that requires cities to choose two weekdays for the main early voting polling place location to be open for at least 12 hours during the regular early voting period. (Sec. 85.005).
NOTE – Independent School Districts: Despite the law that allows an ISD to be closed on school holidays during the mandatory office hours period, you are required to be open during the entire early voting period, except on legal state and national holidays.
NOTE – Joint Elections: If entities are conducting early voting by personal appearance jointly, we recommend a unified schedule covering all requirements; i.e., no entity’s requirements should be neglected or subtracted as a result of a joint agreement.
NOTE – NEW LAW: SB 1 (2021, 2nd C.S.) amended Section 61.002 to provide that immediately before the opening of the polls on the first day of early voting and on election day, the presiding judge or alternate judge shall confirm that the public counters on each voting machine are set to zero and shall print the tape that shows that there are zero votes for each candidate or measure on the ballot. Each election judge and alternate judge shall sign the printed tapes. (Sec. 61.002).
If an FPCA (PDF) is received by this date without a postmark to prove mailing date, the early voting clerk will accept the FPCA and mail the applicant a full ballot even if the applicant is not a permanently registered voter but meets the requirements under Title 2 of the Election Code (unless the voter marks “my intent to return is uncertain” (2019 form (PDF), or “my return is uncertain” (2017 form)) (Sec. 101.055; 1 T.A.C. § 81.40).
Last day to notify election judges of duty to hold election (Writ of Election (PDF) and Writ of Election – General Election for State and County Officers (PDF)). Notice must be given by the 15th day before the election or the 7th day after the day the election is ordered, whichever is later. The Writ of Election must be given to each presiding judge and include:
The judge’s duty to hold the election;
The type and date of election;
The polling place location at which the judge will serve;
The polling place hours; and
The maximum number of clerks the judge may appoint. (Sec. 4.007).</t>
        </r>
      </text>
    </comment>
    <comment ref="L29" authorId="0" shapeId="0">
      <text>
        <r>
          <rPr>
            <b/>
            <sz val="9"/>
            <color indexed="81"/>
            <rFont val="Tahoma"/>
            <family val="2"/>
          </rPr>
          <t xml:space="preserve">Tuesday, October 25, 2022 (14th day before Election Day)
</t>
        </r>
        <r>
          <rPr>
            <sz val="9"/>
            <color indexed="81"/>
            <rFont val="Tahoma"/>
            <family val="2"/>
          </rPr>
          <t>NOTE for Counties: Deadline to file a petition (PDF) in the November General Election for state and county officers to require the early voting clerk of a county with a population under 55,000 to conduct extended early voting at the main early voting polling place for 12 hours on the last Saturday of the early voting period, October 29, 2022. Voting may not be conducted earlier than 6:00 a.m. or later than 10:00 p.m. (Secs. 85.006(e), 85.007). Notice of weekend voting (PDF) must be posted beginning no later than Wednesday, October 26, 2022 and continuing through Friday, October 28, 2022.  (Sec. 85.007(c)).
Deadline to file a petition (PDF) in the November General Election for state and county officers to require the early voting clerk of a county with a population under 55,000 to conduct extended early voting at the main early voting polling place for 12 hours on each weekday of the last week of the early voting period (Monday, October 31, 2022 through Friday, November 4, 2022). Notice of extended hours (PDF) must be posted beginning no later than Wednesday, October 26, 2022 and continuing through Friday, November 4, 2022. (Secs. 85.005(c), 85.067).
NOTE: For counties with a population under 55,000, extended early voting at the main early voting polling place for 12 hours on each weekday of the last week of the early voting must be conducted if a petition is submitted by at least 15 registered voters of the county requesting those extended hours.</t>
        </r>
      </text>
    </comment>
    <comment ref="M29" authorId="0" shapeId="0">
      <text>
        <r>
          <rPr>
            <b/>
            <sz val="9"/>
            <color indexed="81"/>
            <rFont val="Tahoma"/>
            <family val="2"/>
          </rPr>
          <t xml:space="preserve">Wednesday, October 26, 2022 (13th day before Election Day; 72 hours preceding first hour Saturday early voting will be conducted)
</t>
        </r>
        <r>
          <rPr>
            <sz val="9"/>
            <color indexed="81"/>
            <rFont val="Tahoma"/>
            <family val="2"/>
          </rPr>
          <t>NOTE for Counties : Deadline to file a petition (PDF) in the November General Election for state and county officers to require the early voting clerk of a county with a population under 55,000 to conduct extended early voting at the main early voting polling place for 6 hours on Sunday, October 30, 2022. Voting may not be conducted earlier than 9:00 a.m. or later than 10:00 p.m.(Sec. 85.006(e)). Notice of weekend voting (PDF) must be posted beginning no later than Thursday, October 27, 2022 and continuing through Saturday, October 29, 2022.  (Sec. 85.007(c)). 
NOTE for Counties : Last day to post notice on bulletin board for posting notice of meetings for the commissioners court and city council if early voting will be conducted on Saturday,October 29, 2022. (Sec. 85.007). Notice must be posted at least 72 hours before early voting begins on a Saturday or Sunday. If the county election officer on his/her own motion by written order orders early voting on Saturday or Sunday OR if the county election officer orders Saturday or Sunday voting after being petitioned to do so by at least 15 registered voters, such voting need not be included in the regular order or notice of the election. (Secs. 85.006(b), (d), 85.007(b), (c)).
Note for all Political Subdivisions, except Counties: Voting on ANY Saturday or Sunday ordered by the governing body on its own motion (i.e., not petitioned for by 15 registered voters) must be included in the order and notice of election. (Secs. 85.006, 85.007(a)).
NOTE: Section 85.007 requires that the election notice, which includes the days and hours of early voting, be posted on the political subdivision’s website, if the political subdivision maintains a website.</t>
        </r>
      </text>
    </comment>
    <comment ref="N29" authorId="0" shapeId="0">
      <text>
        <r>
          <rPr>
            <b/>
            <sz val="9"/>
            <color indexed="81"/>
            <rFont val="Tahoma"/>
            <family val="2"/>
          </rPr>
          <t xml:space="preserve">Thursday, October 27, 2022 (12th day before Election Day; day before the last day to apply for a ballot by mail)
</t>
        </r>
        <r>
          <rPr>
            <sz val="9"/>
            <color indexed="81"/>
            <rFont val="Tahoma"/>
            <family val="2"/>
          </rPr>
          <t xml:space="preserve">
Counties: Last day to post notice (PDF) on bulletin board for posting notice of meetings of the commissioners court or city council, if early voting will be conducted on Sunday, October 30, 2022. (Sec. 85.007). Notice must be posted at least 72 hours before early voting begins on a Saturday or Sunday. See entry at Wednesday, October 26, 2022.
Note for all Political Subdivisions, except Counties: Voting on ANY Saturday or Sunday ordered by the governing body on its own motion (i.e., not petitioned for by 15 registered voters) must be included in the order and notice of election. (Secs. 85.006, 85.007(a)).
NOTE: Section 85.007 requires that the election notice, which includes the days and hours of early voting, be posted on the political subdivision’s website, if the political subdivision maintains a website.
First day a voter who becomes sick or disabled on or after this date may submit an application for a late ballot if the sickness or physical condition prevents the voter from appearing at the polling place without the likelihood of needing personal assistance or of injuring his or her health. (Sec. 102.001). See Application for Emergency Early Voting Ballot Due to Sickness or Physical Disability (PDF). Applications may continue to be submitted until 5:00 PM on Election Day. (Sec. 102.003).
First day a county with a population of 100,000 or more, or entities that are having joint elections or are contracting with such a county, may convene their early voting ballot board and begin processing and qualifying mail ballots but may not begin counting at this time.
NOTE: Mail ballots may not be counted until (i) the polls open on election day; or (ii) for a county with a population of 100,000 or more, or entities that are having joint elections with such a county or who are conducting their election with such a county through a contract for election services, the end of the period for early voting in person. (Secs. 87.0222, 87.0241). The early voting clerk shall continuously post notice for 24 hours preceding each delivery of voting materials that is to be made before the time for opening the polls on election. (Sec. 87.0222). NOTE: Results may not be released until the polls close on election day.
NOTE – NEW LAW: HB 3107 (2021, R.S.) clarified that if a county with a population of 100,000 or more is conducting an election through a contract for election services for a political subdivision, the county’s ballot board timeframes apply to the election. (Secs. 87.0222, 87.0241).
NOTE – The county clerk/elections administrator must ensure that photocopies or scanned images of annual applications for ballot by mail have been delivered to the early voting clerk of every political subdivision holding an election before the ballots by mail are delivered to the early voting ballot board. The county election officer should transmit copies of the applicable ABBMs and FPCAs through a secure method. This may include hand-delivering the copies, arranging for the local entity to pick up the copies, or utilizing an encrypted email or file transfer protocol. See Answer 17 in Tex. Sec’y of State Election Advisory No. 2022-08.
NOTE – NEW LAW: SB 1 (2021, 2nd C.S.) added Section 87.0411 to provide a procedure by which a voter can correct certain defects in their carrier envelope containing their voted ballot. Not later than the second business day after an early voting ballot board discovers the defect and before the board decides whether to accept or reject a timely delivered ballot under Section 87.041, the board shall: (1) determine if it would be possible for the voter to correct the defect and return the carrier envelope before the time the polls are required to close on election day; and (2) return the carrier envelope to the voter by mail, if the board determines that it would be possible for the voter to correct the defect and return the carrier envelope before the time the polls are required to close on election day. If the board determines that it would not be possible for the voter to correct the defect and return the carrier envelope before the time the polls are required to close on election day, the board may notify the voter of the defect by phone or email and inform the voter that the voter may cancel their mail ballot in accordance with Section 84.032 or come to the early voting clerk’s office in person not later than the sixth day after election day to correct the defect. If the ballot board takes one of the actions described above, the board must take that action with respect to each ballot in the election that to which these options apply. (Sec. 87.0411). See Note 16.</t>
        </r>
      </text>
    </comment>
    <comment ref="O29" authorId="0" shapeId="0">
      <text>
        <r>
          <rPr>
            <b/>
            <sz val="9"/>
            <color indexed="81"/>
            <rFont val="Tahoma"/>
            <family val="2"/>
          </rPr>
          <t xml:space="preserve">Friday, October 28, 2022 (11th day before Election Day)
</t>
        </r>
        <r>
          <rPr>
            <sz val="9"/>
            <color indexed="81"/>
            <rFont val="Tahoma"/>
            <family val="2"/>
          </rPr>
          <t>Last day to receive an FPCA (PDF) from a voter. If the voter is not registered in the county (and / or marked intent to return “not certain”), the voter is still eligible for a ballot containing federal offices only. In a local (non-federal) election, this means there is no ballot to send the voter. (Secs. 101.052(b), (f), 114.004(c)).
Last day for early voting clerk to receive applications for a ballot to be voted by mail. (Sec. 84.007(c)). All applications to vote by mail must be received by the early voting clerk before the close of regular business or 12 noon, whichever is later.
Applications to vote by mail must be submitted by mail, common or contract carrier, fax (if a fax machine is available in the office of the early voting clerk), e-mail, or personal delivery (see below). The early voting clerk’s designated email address must be posted on the Secretary of State’s website.
If an ABBM is faxed or emailed or if an FPCA is faxed, then the applicant must submit the ORIGINAL application BY MAIL to the early voting clerk so that the early voting clerk receives the original no later than the 4th business day after receiving the emailed or faxed ABBM or faxed FPCA. If the early voting clerk does not receive the original ABBM or FPCA by that deadline, then the emailed or faxed ABBM or faxed FPCA will be considered incomplete, and the early voting clerk may NOT send the applicant a ballot. The requirement to mail the original application does not apply to an emailed FPCA. For additional information on this law, please see Note 15 above.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An applicant for a ballot to be voted by mail (ABBM or FPCA) may also submit the application by delivering it in person to the early voting clerk if the application is submitted not later than the close of regular business in the clerk’s office on Friday, October 28, 2022. (Sec. 84.008).
NOTE-NEW LAW: HB 3107 (2021, R.S.) amended Section 101.052 of the Code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84.008 of the Code to provide that an applicant for a ballot to be voted by mail may submit the application by delivering it in person to the early voting clerk if the application is submitted not later than the deadline provided by Section 84.007(c) of the Code. This means that effective September 1, 2021, voters may now personally deliver their ABBM or FPCA to the early voting clerk not later than the close of regular business in the early voting clerk’s office or 12 noon, whichever is later, on the 11th day before election day (unless that day is a Saturday, Sunday, or legal state or national holiday, in which case the last day is the first preceding regular business day.) 
Last day for county clerk/elections administrator to deliver final list of voters that have submitted an annual application for ballot by mail to political subdivisions located within the county holding an election on November 8, 2022, for which the county clerk/elections administrator is not the early voting clerk via a joint election agreement or contract for election services.</t>
        </r>
      </text>
    </comment>
    <comment ref="P29" authorId="0" shapeId="0">
      <text>
        <r>
          <rPr>
            <b/>
            <sz val="9"/>
            <color indexed="81"/>
            <rFont val="Tahoma"/>
            <family val="2"/>
          </rPr>
          <t xml:space="preserve">Saturday, October 29, 2022 (10th day before Election Day; last Saturday of early voting period)
</t>
        </r>
        <r>
          <rPr>
            <sz val="9"/>
            <color indexed="81"/>
            <rFont val="Tahoma"/>
            <family val="2"/>
          </rPr>
          <t>Counties: In counties with populations of 55,000 or more, early voting must be conducted at the main early voting polling place in the November General Election for state and county officers for at least 12 hours on last Saturday of the early voting period. (Sec. 85.006(e)). For counties under 55,000, voting on Saturday is only required if a proper petition (PDF) was received in a timely manner. See entry under Tuesday, October 25, 2022.
Cities:  If a proper petition (PDF) was received before the election was ordered, early voting must be conducted on last Saturday of the early voting period.
Last day of period during which notice of the November General Election for state and county officers and other elections ordered by a county or a city or school district must be published in a newspaper of general circulation. (Sec. 4.003(a)(1)).
NOTE: The election notice shall be posted on the political subdivision’s website, if the political subdivision maintains a website.
Last day to mail a copy of the notice of election to each registered voter of the territory that is covered by the election and is in the jurisdiction of the authority responsible for giving the notice if method of giving notice is not specified by a law outside the Texas Election Code and this method of giving notice is selected.</t>
        </r>
      </text>
    </comment>
    <comment ref="T29" authorId="0" shapeId="0">
      <text>
        <r>
          <rPr>
            <b/>
            <sz val="9"/>
            <color indexed="81"/>
            <rFont val="Tahoma"/>
            <family val="2"/>
          </rPr>
          <t xml:space="preserve">Tuesday, November 29, 2022 (21st day after Election Day)
</t>
        </r>
        <r>
          <rPr>
            <sz val="9"/>
            <color indexed="81"/>
            <rFont val="Tahoma"/>
            <family val="2"/>
          </rPr>
          <t>Last day to complete the partial manual count.  (Sec. 127.201(a)).</t>
        </r>
      </text>
    </comment>
    <comment ref="J30" authorId="0" shapeId="0">
      <text>
        <r>
          <rPr>
            <b/>
            <sz val="9"/>
            <color indexed="81"/>
            <rFont val="Tahoma"/>
            <family val="2"/>
          </rPr>
          <t>Sunday, October 30, 2022 (9th day before Election Day; last Sunday of early voting period)</t>
        </r>
        <r>
          <rPr>
            <sz val="9"/>
            <color indexed="81"/>
            <rFont val="Tahoma"/>
            <family val="2"/>
          </rPr>
          <t xml:space="preserve">
Counties with a Population of 55,000 or More: In counties with populations of 55,000 or more, early voting must be conducted at the main early voting polling place in the November General Election for state and county officers for at least 6 hours on last Sunday of the early voting period. (Sec. 85.006(e)).
For counties under 55,000, voting on Sunday at the main early voting polling place and any permanent branch locations  is only required if a proper petition (PDF) was received in a timely manner. See entry under Wednesday, October 26, 2022.
Cities:  If a proper petition (PDF) was received before the election was ordered, early voting must be conducted on last Sunday of the early voting period.  
</t>
        </r>
      </text>
    </comment>
    <comment ref="K30" authorId="0" shapeId="0">
      <text>
        <r>
          <rPr>
            <b/>
            <sz val="9"/>
            <color indexed="81"/>
            <rFont val="Tahoma"/>
            <family val="2"/>
          </rPr>
          <t xml:space="preserve">Monday, October 31 – Friday, November 4, 2022 (last week of early voting by personal appearance)
</t>
        </r>
        <r>
          <rPr>
            <sz val="9"/>
            <color indexed="81"/>
            <rFont val="Tahoma"/>
            <family val="2"/>
          </rPr>
          <t>In counties with a population of 55,000 or more, the early voting clerk must keep the main polling place open for 12 hours each weekday for the November General Election for state and county officers during the last week of the early voting period. Early voting must be conducted at permanent branch locations for 12 hours each weekday. Voting may not be conducted any earlier than 6:00 a.m. or later than 10:00 p.m. (Secs. 85.005(c), 85.063).
In counties with a population of 100,000 or local political subdivisions situated in such a county, early voting by personal appearance at each temporary branch polling place must be conducted on the days that voting is required to be conducted at the main early voting polling place  and remain open for at least 8 hours each day; or 3 hours each day if the city or county clerk does not serve as the early voting clerk for the territory holding the election and the territory has fewer than 1,000 registered voters. (Secs. 85.005(c), 85.064).
NOTE: In an election in which the territory served by the early voting clerk is situated in more than one county, early voting at each temporary branch location must be conducted on the days that voting is required to be conducted at the main early voting polling place for at least 8 hours each day, if the sum of the population of the counties is 100,000 or more.
In counties with a population under 100,000 or local political subdivisions situated in such a county, early voting by personal appearance at each temporary branch polling place may be conducted on any days and during any hours of the period for early voting by personal appearance, as determined by the authority establishing the branch except that voting must be conducted on at least two consecutive business days and for at least eight consecutive hours on each of those days. (Secs. 85.005(c), 85.063, 85.065).</t>
        </r>
      </text>
    </comment>
  </commentList>
</comments>
</file>

<file path=xl/comments2.xml><?xml version="1.0" encoding="utf-8"?>
<comments xmlns="http://schemas.openxmlformats.org/spreadsheetml/2006/main">
  <authors>
    <author>Author</author>
  </authors>
  <commentList>
    <comment ref="H5" authorId="0" shapeId="0">
      <text>
        <r>
          <rPr>
            <sz val="9"/>
            <color indexed="81"/>
            <rFont val="Tahoma"/>
            <family val="2"/>
          </rPr>
          <t xml:space="preserve">First day to apply for a ballot by mail using </t>
        </r>
        <r>
          <rPr>
            <b/>
            <sz val="9"/>
            <color indexed="81"/>
            <rFont val="Tahoma"/>
            <family val="2"/>
          </rPr>
          <t>Application for a Ballot by Mail (ABBM)</t>
        </r>
        <r>
          <rPr>
            <sz val="9"/>
            <color indexed="81"/>
            <rFont val="Tahoma"/>
            <family val="2"/>
          </rPr>
          <t xml:space="preserve"> or </t>
        </r>
        <r>
          <rPr>
            <b/>
            <sz val="9"/>
            <color indexed="81"/>
            <rFont val="Tahoma"/>
            <family val="2"/>
          </rPr>
          <t>Federal Post Card Application (FPCA)</t>
        </r>
        <r>
          <rPr>
            <sz val="9"/>
            <color indexed="81"/>
            <rFont val="Tahoma"/>
            <family val="2"/>
          </rPr>
          <t>. 
Saturday, January 1, 2022*
*First day to file does not move because of New Year’s Day holiday.  An “Annual ABBM” or FPCA for a January or February 2022 election may be filed earlier, but not earlier than the 60th day before the date of the January or February election.</t>
        </r>
      </text>
    </comment>
  </commentList>
</comments>
</file>

<file path=xl/comments3.xml><?xml version="1.0" encoding="utf-8"?>
<comments xmlns="http://schemas.openxmlformats.org/spreadsheetml/2006/main">
  <authors>
    <author>Author</author>
  </authors>
  <commentList>
    <comment ref="C11" authorId="0" shapeId="0">
      <text>
        <r>
          <rPr>
            <b/>
            <sz val="9"/>
            <color indexed="81"/>
            <rFont val="Tahoma"/>
            <family val="2"/>
          </rPr>
          <t>Deadline for minor party chairs to submit petitions and precinct convention lists to Secretary of State and to the appropriate county clerk (or other county election official) for placement on the ballot.  (Secs. 1.006, 181.005(a), 181.006(b)(3), 182.003, 182.004). 
The deadline is extended to the next regular business day which is Monday, May 23, 2022 due to the 75th day falling on Sunday, May 22, 2022. (Sec. 1.006).</t>
        </r>
      </text>
    </comment>
  </commentList>
</comments>
</file>

<file path=xl/comments4.xml><?xml version="1.0" encoding="utf-8"?>
<comments xmlns="http://schemas.openxmlformats.org/spreadsheetml/2006/main">
  <authors>
    <author>Author</author>
  </authors>
  <commentList>
    <comment ref="C9" authorId="0" shapeId="0">
      <text>
        <r>
          <rPr>
            <b/>
            <sz val="9"/>
            <color indexed="81"/>
            <rFont val="Tahoma"/>
            <family val="2"/>
          </rPr>
          <t>First day of new term for political party county chairs elected in the March 1, 2022 Primary Election and precinct chairs elected in the May 24, 2022 Primary Runoff Election. (Sec. 171.022(c)).</t>
        </r>
      </text>
    </comment>
    <comment ref="F11" authorId="0" shapeId="0">
      <text>
        <r>
          <rPr>
            <b/>
            <sz val="9"/>
            <color indexed="81"/>
            <rFont val="Tahoma"/>
            <family val="2"/>
          </rPr>
          <t>Thursday, June 23, 2022 (30th day before Saturday, July 23, 2022, “first day to file”; 30th day after Runoff Primary Election Day)</t>
        </r>
        <r>
          <rPr>
            <sz val="9"/>
            <color indexed="81"/>
            <rFont val="Tahoma"/>
            <family val="2"/>
          </rPr>
          <t xml:space="preserve">
Counties:  5:00 p.m. — Filing deadline for independent candidate’s application for place on ballot (PDF) and petition (PDF) for the November General Election for state and county officers. (Sec. 142.006). See Independent Candidates Guide. 
Cities, Schools and Other Political Subdivisions: Deadline to post Notice of Deadline to File an Application for Place on the Ballot (PDF) in a public place in a building in which the authority maintains an office. The notice must be posted not later than the 30th day before the first day to file. (Sec. 141.040; Sec. 49.113, Water Code). Note 5.
NOTE - Water Districts: The notice must be posted at the district’s administrative office or at the public place established by the district under Section 49.063 of the Water Code. (Sec. 49.113, Water Code).
NOTE: The delivery, submission, or filing of an application with an employee of the filing authority at the authority’s usual place for conducting official business constitutes filing with the authority. (Sec. 1.007).
NOTE - NEW LAW: HB 3107 (2021, R.S.) requires the authority with whom an application for a place on the ballot is filed to designate an e-mail address in the notice required by Section 141.040 of the Code for the purpose of filing an application for a place on the ballot.
NOTE - NEW LAW: HB 4555 (2021, R.S.) amended Sections 141.031 and 141.039 of the Code by modifying the application requirements related to a candidate’s final felony conviction status and what must be included on the candidate application form. Specifically, candidates will need to provide an indication on their candidate application that the candidate has either not been finally convicted of a felony, or if so convicted, has been pardoned or otherwise released from the resulting disabilities. A person who has been convicted of a felony will need to include with the application proof that the person has been pardoned or otherwise released from the resulting disabilities. The application form must include a statement informing candidates of the requirement to submit this information. Further, the official application form will need to include a statement informing candidates that knowingly providing false information on their application related to their final felony conviction status is a Class B misdemeanor. (Secs. 141.031, 141.039).
School Districts: In addition to the general felony rule at Election Code Sec. 141.001 (finally convicted), a candidate for school board must not have been convicted (finally convicted or otherwise) of specific crimes under the Education Code in time to serve. (Sec. 11.066, Education Code).
</t>
        </r>
      </text>
    </comment>
    <comment ref="F13" authorId="0" shapeId="0">
      <text>
        <r>
          <rPr>
            <b/>
            <sz val="9"/>
            <color indexed="81"/>
            <rFont val="Tahoma"/>
            <family val="2"/>
          </rPr>
          <t xml:space="preserve">Thursday, June 30, 2022 (last day in June)
</t>
        </r>
        <r>
          <rPr>
            <sz val="9"/>
            <color indexed="81"/>
            <rFont val="Tahoma"/>
            <family val="2"/>
          </rPr>
          <t>In a county with a population of over 500,000, deadline for party chairs to submit to county commissioners court a list of eligible persons for precinct presiding election and alternate presiding judges for appointments, as well as for presiding and alternate presiding judges of central counting station for appointments for the November General Election for state and county officers. (Secs. 1.006, 32.002(a)(1), (c), 127.005(e)).
Deadline for party chairs to submit to county election officer the list of eligible persons to serve as election officers for the main and any branch early voting location for the November General Election for state and county officers. (Sec. 85.009).
Recommended date that party chairs, in a county with a population of over 500,000, submit to the county election board a list of names of eligible persons to serve on the early voting ballot board for the November General Election for state and county officers. (Sec. 87.002(c), (d)). NOTE: This is not a deadline; just a recommendation.
NOTE – NEW LAW: SB 1 (2021, 2nd C.S.) amended Section 87.002 to require the early voting ballot board to have an alternate judge. The alternate judge is appointed in the same manner as the presiding judge.
NOTE:  A signature verification committee may be appointed at a later date. (Sec. 87.027).
Political Subdivisions Other than Counties:  For recommended date to appoint your presiding election judges, see entry under August 22, 2022.</t>
        </r>
      </text>
    </comment>
  </commentList>
</comments>
</file>

<file path=xl/comments5.xml><?xml version="1.0" encoding="utf-8"?>
<comments xmlns="http://schemas.openxmlformats.org/spreadsheetml/2006/main">
  <authors>
    <author>Author</author>
  </authors>
  <commentList>
    <comment ref="D7" authorId="0" shapeId="0">
      <text>
        <r>
          <rPr>
            <b/>
            <sz val="9"/>
            <color indexed="81"/>
            <rFont val="Tahoma"/>
            <family val="2"/>
          </rPr>
          <t xml:space="preserve">Tuesday, July 5, 2022 – Monday, October 3, 2022
</t>
        </r>
        <r>
          <rPr>
            <sz val="9"/>
            <color indexed="81"/>
            <rFont val="Tahoma"/>
            <family val="2"/>
          </rPr>
          <t>Recommended timeframe for the county election board in a county with a population of over 500,000 to appoint the members to the early voting ballot board for the November General Election for state and county officers. 
(Sec. 87.002(c), (d)). Section 87.002(c) of the Election Code does not provide a deadline for the county election board to make such appointments. 
NOTE: This is not a deadline; just a recommendation. October 3 is the recommended deadline because of various notice requirements.
NOTE – NEW LAW: SB 1 (2021, 2nd C.S.) amended Section 87.002 to require the early voting ballot board to have an alternate judge. The alternate judge is appointed in the same manner as the presiding judge.
It is also recommended that the commissioners court, in a county with a population of over 500,000, appoint during its July term the central counting station manager, tabulation supervisor, and assistants to the tabulation supervisor if it has established a central counting station. 
(Secs. 127.001, 127.002, 127.003, 127.004). NOTE: This is not a deadline; just a recommendation.</t>
        </r>
        <r>
          <rPr>
            <b/>
            <sz val="9"/>
            <color indexed="81"/>
            <rFont val="Tahoma"/>
            <family val="2"/>
          </rPr>
          <t xml:space="preserve">
</t>
        </r>
      </text>
    </comment>
    <comment ref="H11" authorId="0" shapeId="0">
      <text>
        <r>
          <rPr>
            <b/>
            <sz val="9"/>
            <color indexed="81"/>
            <rFont val="Tahoma"/>
            <family val="2"/>
          </rPr>
          <t xml:space="preserve">Saturday, July 23, 2022 (30th day before Monday, August 22, 2022, regular filing deadline for a place on the ballot)
</t>
        </r>
        <r>
          <rPr>
            <sz val="9"/>
            <color indexed="81"/>
            <rFont val="Tahoma"/>
            <family val="2"/>
          </rPr>
          <t>Counties:  First day to file a Declaration of Write-In Candidacy (PDF) and accompanying filing fee or nominating petition (PDF) in lieu of filing fee with the county judge or Secretary of State, as applicable, for the November General Election for state and county officers. 
(Secs. 146.023, 146.0231, 146.0232, 146.025(a), 172.024, 172.025).  See Write-In Candidates Guide.
Political Subdivisions Other Than Counties: First day to file an application for a place on the ballot or a declaration of write-in candidacy. 
(Secs. 143.007(a), 144.005(a), 146.054, Election Code; Secs. 11.055, 11.056,  130.082(g), 130.0825, Education Code). See Candidacy Filing outline for more details. The following forms are available on the Secretary of State’s website:
Application for Place on City/School/Other Political Subdivision Ballot (PDF)
If your home rule city or special law district allows for a petition, the following petition may be used:  Petition for Place on the City General Election Ballot (PDF)
Declaration of Write-In Candidacy for Cities, School Districts, and other Political Subdivisions (PDF)
NOTE:  Most elective offices now require that a candidate be a registered voter of the territory that the office is elected from as of the filing deadline or as of other statutory deadlines. (Sec. 141.001). For more information on the candidate voter registration requirement, see Voter Registration Requirements for Candidates.
NOTE:  We are often asked how filing can begin if you have not yet ordered the general election.  You do not need to order your general (regularly occurring) election in order for the filing period to begin.
NOTE:  Cities, Schools, and Other Political Subdivisions:  At least part of the candidate filing period will occur during the summer break for school districts. Additionally, there are political subdivisions that do not have office hours on all days of the business week (Monday through Friday) or do not have an office that is open for eight hours each day of the business week.  
The Elections Division recommends that political subdivisions take steps to have someone available for a few hours most days during the candidate filing period to accept filings, and that political subdivisions post a schedule on their websites and on the bulletin boards where notices of meetings are posted of the days and times when someone will be available to accept filings. 
The Elections Division also strongly recommends having someone available at the place of  business on the filing deadline, especially from 2:00 p.m. to 5:00 p.m., if you are otherwise closed. This guideline is based on the office-hour rule under Section 31.122 of the Election Code.  Although a political subdivision may accept applications by mail and fax, without a person there at the office, the political subdivision will not be able to determine which applications were timely filed by 5:00 p.m.
NOTE - NEW LAW: HB 3107 (2021, R.S.) amended Sections 143.004 and 144.003 of the Code to provide that candidate applications, other than those that must be accompanied by a filing fee, may be filed via email. 
The application must be a scanned copy of the candidate application and must be sent to the filing authority’s designated email address for accepting applications. (Secs. 143.004, 144.003).</t>
        </r>
      </text>
    </comment>
    <comment ref="B15" authorId="0" shapeId="0">
      <text>
        <r>
          <rPr>
            <b/>
            <sz val="9"/>
            <color indexed="81"/>
            <rFont val="Tahoma"/>
            <family val="2"/>
          </rPr>
          <t xml:space="preserve">Sunday, July 31, 2022 (last day “before August”)
</t>
        </r>
        <r>
          <rPr>
            <sz val="9"/>
            <color indexed="81"/>
            <rFont val="Tahoma"/>
            <family val="2"/>
          </rPr>
          <t>In a county with a population of 500,000 or less, deadline for party chairs to submit to county commissioners court list of eligible persons for precinct presiding election and alternate presiding judges for appointments, as well as for presiding and alternate presiding judges of central counting station for appointments for the November General Election for state and county officers. (Secs. 32.002(a)(2), (c), 127.005(e)).  
Recommended date that party chairs in a county with a population of 500,000 or less submit to the county election board a list of names of eligible persons to serve on the early voting ballot board for the November General Election for state and county officers. (Sec. 87.002(c), (d)). 
NOTE: This is not a deadline; just a recommendation.
NOTE – NEW LAW: SB 1 (2021, 2nd C.S.) amended Section 87.002 to require the early voting ballot board to have an alternate judge. The alternate judge is appointed in the same manner as the presiding judge.
NOTE:  A signature verification committee may be appointed at a later date. (Sec. 87.027).
For more information on the appointment procedures for election workers, see Tex. Sec’y of State Election Advisory No. 2021-7.
Recommended date that county election officials and local political subdivisions meet to discuss conducting elections at the same polling locations pursuant to Sections 42.002 &amp; 42.0621. NOTE: This is not a deadline; just a recommendation.</t>
        </r>
      </text>
    </comment>
  </commentList>
</comments>
</file>

<file path=xl/comments6.xml><?xml version="1.0" encoding="utf-8"?>
<comments xmlns="http://schemas.openxmlformats.org/spreadsheetml/2006/main">
  <authors>
    <author>Author</author>
  </authors>
  <commentList>
    <comment ref="C5" authorId="0" shapeId="0">
      <text>
        <r>
          <rPr>
            <b/>
            <sz val="9"/>
            <color indexed="81"/>
            <rFont val="Tahoma"/>
            <family val="2"/>
          </rPr>
          <t xml:space="preserve">Monday, August 1, 2022 – Monday, October 3, 2022
</t>
        </r>
        <r>
          <rPr>
            <sz val="9"/>
            <color indexed="81"/>
            <rFont val="Tahoma"/>
            <family val="2"/>
          </rPr>
          <t>Recommended timeframe for the county election board in a county with a population of 500,000 or less to appoint the members to the early voting ballot board for the November General Election for state and county officers. 
(Sec. 87.002(c), (d)). Section 87.002(c) of the Election Code does not provide a deadline for the county election board to make such appointments. 
NOTE: This is not a deadline; just a recommendation. October 3 is the recommended deadline because of various notice requirements.
Recommended date that commissioners court in a county with a population of 500,000 or less appoint central counting station manager, tabulation supervisor, and assistants to the tabulation supervisor if it has established a central counting station. 
(Secs. 127.001, 127.002, 127.003, 127.004). NOTE: This is not a deadline; just a recommendation.</t>
        </r>
      </text>
    </comment>
    <comment ref="E7" authorId="0" shapeId="0">
      <text>
        <r>
          <rPr>
            <b/>
            <sz val="9"/>
            <color indexed="81"/>
            <rFont val="Tahoma"/>
            <family val="2"/>
          </rPr>
          <t xml:space="preserve">Wednesday, August 10, 2022 (90th day before Election Day)
</t>
        </r>
        <r>
          <rPr>
            <sz val="9"/>
            <color indexed="81"/>
            <rFont val="Tahoma"/>
            <family val="2"/>
          </rPr>
          <t xml:space="preserve">Last day for eligible political subdivisions to submit Notice of Exemption Under Section 61.013 (PDF) or an Application of Undue Burden Status (PDF) to the Secretary of State for exemption from the accessible voting system requirement. (Sec. 61.013). 
For additional information, consult the most current advisory on this topic, Tex. Sec’y of State Election Advisory No. 2021-02.
</t>
        </r>
      </text>
    </comment>
    <comment ref="G9" authorId="0" shapeId="0">
      <text>
        <r>
          <rPr>
            <b/>
            <sz val="9"/>
            <color indexed="81"/>
            <rFont val="Tahoma"/>
            <family val="2"/>
          </rPr>
          <t xml:space="preserve">Friday, August 19, 2022 (81st day before Election Day, day before 2nd day before filing deadline)
</t>
        </r>
        <r>
          <rPr>
            <sz val="9"/>
            <color indexed="81"/>
            <rFont val="Tahoma"/>
            <family val="2"/>
          </rPr>
          <t>Political Subdivisions Other Than Counties: If a candidate dies on or before this date, his or her name is not placed on the ballot, if the filing deadline is Monday, August 22, 2022. (Sec. 145.094(a)(1)).
NOTE: Section 145.098 states if a candidate dies on or before the deadline for filing an application for a place on the ballot, the authority responsible for preparing the ballots MAY choose to omit the candidate. 
If the authority does choose to omit the candidate’s name from the ballot due to the candidate’s death after August 19, 2022, the deadline for filing an application for a place on the ballot is extended to the fifth day after the filing deadline, Saturday, August 27, 2022. 
This extended deadline only applies to the regular filing deadline. It DOES NOT apply to the write-in deadline.
NOTE: Because the extended deadline for filing an application for a place on the ballot falls on a weekend (Saturday, August 27, 2022), it is extended to the next regular business day, Monday, August 29, 2022. (Sec. 1.006). If the deadline is extended, the Notice of Candidate Filing period will need to be updated.</t>
        </r>
      </text>
    </comment>
    <comment ref="C11" authorId="0" shapeId="0">
      <text>
        <r>
          <rPr>
            <b/>
            <sz val="9"/>
            <color indexed="81"/>
            <rFont val="Tahoma"/>
            <family val="2"/>
          </rPr>
          <t xml:space="preserve">Monday, August 22, 2022 (78th day before Election Day)
</t>
        </r>
        <r>
          <rPr>
            <sz val="9"/>
            <color indexed="81"/>
            <rFont val="Tahoma"/>
            <family val="2"/>
          </rPr>
          <t>Counties: 5:00 p.m. — Deadline to file as a write-in candidate for the November General Election for state and county officers. (Sec. 146.025(a)). A declaration of write-in candidacy filed by mail is considered to be filed at the time of its receipt by the appropriate authority.  (Sec. 146.025(c)).  See Write-In Candidates Guide. 
Exception:  If a candidate whose name is to appear on the general election ballot dies or is declared ineligible after the third day before the date of the filing deadline above, a declaration of write-in candidacy for the office sought by the deceased or ineligible candidate may be filed not later than 5:00 p.m. of the 75th day before election day. (Sec. 146.025(b)).
Political Subdivisions Other Than Counties: 5:00 p.m. — Last day for a candidate in a political subdivision (other than a county) to file an application for a place on the ballot for general election for officers for most political subdivisions, except as otherwise provided by the Texas Election Code. (Secs. 143.007(c), 144.005(d), Election Code; Sec. 11.055, Education Code; Chapter 286, Health &amp; Safety Code). See Candidacy Filing outline for more details.
NOTE:  A home-rule city’s charter may not provide an alternate candidate filing deadline. (Secs. 143.005(a), 143.007).
NOTE:  An application submitted by mail is considered to be filed at the time of its receipt by the   appropriate filing authority.  (Secs. 143.007(b), 144.005(b)).
Political Subdivisions Other Than Counties (General Election): Deadline for political subdivisions to order a general election to be held on Tuesday, November 8, 2022. (Sec. 3.005). One of the following forms may be used:
Order of General Election for Municipalities (PDF)</t>
        </r>
        <r>
          <rPr>
            <b/>
            <sz val="9"/>
            <color indexed="81"/>
            <rFont val="Tahoma"/>
            <family val="2"/>
          </rPr>
          <t xml:space="preserve">
</t>
        </r>
        <r>
          <rPr>
            <sz val="9"/>
            <color indexed="81"/>
            <rFont val="Tahoma"/>
            <family val="2"/>
          </rPr>
          <t>Order of General Election for Other Political Subdivisions (Including Schools) (PDF)
Political Subdivisions Other Than Counties (Special Election): Deadline to order a special election on a measure or a special election to fill a vacancy (if authorized to fill vacancies by special election) to be held on the date of the November General Election for state and county officers. An application may not be filed before the special election is ordered, and in addition to the information stated below, the order must state the filing deadline. (Secs. 201.051(b), 201.054(c), (d)). The following forms may be used:
Order of Special Election for Municipalities (PDF)
Order of Special Election for Other Political Subdivisions (Including Schools) (PDF)
NOTE-NEW LAW: HB 4555 (2021, R.S.) amended Sections 141.031 and 141.039 of the Code by modifying the application requirements related to a candidate’s final felony conviction status and what must be included on the candidate application form. Specifically, candidates will need to provide an indication on their candidate application that the candidate has either not been finally convicted of a felony, or if so convicted, has been pardoned or otherwise released from the resulting disabilities. A person who has been convicted of a felony will need to include in the application proof that the person has been pardoned or otherwise released from the resulting disabilities. The application form must include a statement informing candidates of the requirement to submit this information. Further, the official application form will need to include a statement informing candidates that knowingly providing false information on their application related to their final felony conviction status is a Class B misdemeanor. (Secs. 141.031, 141.039).
NOTE - School Districts: In addition to the general felony rule at Election Code Sec. 141.001 (finally convicted), a candidate for school board must not have been convicted (finally convicted or otherwise) of specific crimes under the Education Code in time to serve. (Sec. 11.066, Education Code).
Counties:  Deadline for counties to order a general election or a special election on a measure to be held on Tuesday, November 8, 2022. (Secs. 3.004, 3.005). The following forms may be used:
Order of Election for the November General Election (for County &amp; Precinct Officers) (PDF)
Order of Special Election for County-Ordered Measure Elections (PDF)
The order must include:
The date of the election;
The offices or measures to be voted on;
The location of the main early voting polling place, including the street address, room number, and building name. The order must designate which location is the main early voting polling place;
(Recommended) Branch early voting polling places (see Note 8, above);
The dates and hours for early voting (recommended for counties and cities, but required for all other entities);
The dates and hours of any Saturday and Sunday early voting (if applicable, it is recommended that this information be included in the order for counties, but it must be included for all other entities); and
The early voting clerk’s official mailing address or street address at which the clerk may receive delivery by common or contract carrier, if different, phone number, e-mail address, and the Internet website, if the early voting clerk has an Internet website.
NOTE-NEW LAW: HB 3107 (2021, R.S.) amended Section 83.010 of the Code to require an election order and the election notice to state the early voting clerk’s official mailing address or street address at which the clerk may receive delivery by common or contract carrier, if different, phone number, e-mail address, and the Internet website, if the early voting clerk has an Internet website. (Sec. 83.010).
NOTE-NEW LAW: HB 3107 (2021, R.S.) amended Section 85.004 of the Code to provide that an election order and election notice must designate which location is the main early voting polling place. (Sec. 85.004).</t>
        </r>
        <r>
          <rPr>
            <b/>
            <sz val="9"/>
            <color indexed="81"/>
            <rFont val="Tahoma"/>
            <family val="2"/>
          </rPr>
          <t xml:space="preserve">
</t>
        </r>
        <r>
          <rPr>
            <sz val="9"/>
            <color indexed="81"/>
            <rFont val="Tahoma"/>
            <family val="2"/>
          </rPr>
          <t>In addition to the information included above, an order for a debt obligation (bond) election must include (Sec. 3.009): 
the proposition language that will appear on the ballot;
the purpose for which the debt obligations are to be authorized;
the principal amount of the debt obligations to be authorized;
that taxes sufficient to pay the annual principal of and interest on the debt obligations may be imposed;
a statement of the estimated tax rate if the debt obligations are authorized or of the maximum interest rate of the debt obligations or any series of the debt obligations, based on the market conditions at the time of the election order;
the maximum maturity date of the debt obligations to be authorized or that the debt obligations may be issued to mature over a specified number of years not to exceed the maximum number of years authorized by law;
the aggregate amount of the outstanding principal of the political subdivision's debt obligations as of the date the election is ordered;
the aggregate amount of the outstanding interest on debt obligations of the political subdivision as of the date the election is ordered, which may be based on the political subdivision’s expectations relative to variable rate debt obligations; and
the ad valorem debt service tax rate for the political subdivision at the time the election is ordered, expressed as an amount per $100 valuation of taxable property.
Recommended date to order the lists of registered voters from the county voter registrar. The list should include both the voters’ residences and mailing addresses in order to conduct early voting by mail. (Sec. 18.006). The political subdivision should confirm that the most recent maps or boundary changes have been provided to the voter registrar.
Recommended date to confirm telephone number for the county voter registrar’s office on election day.
Recommended date to order election supplies, other than ballots. (Subchapter A, Chapter 51).
Political Subdivisions Other Than Counties: Recommended date to appoint presiding and alternate judges. Currently, the Election Code does not establish a deadline for appointing election officials; there is only a notification deadline.  For further information concerning procedures for appointing judges and their alternates, see Sections 32.005, 32.008, and 32.011. General eligibility requirements are found in Subchapter C, Chapter 32. 
In addition to appointing a judge and alternate judge for each election precinct pursuant to Sections 32.001 and 32.005, the governing body must allow the judge to appoint no less than two clerks; however, the alternate judge must serve as one of the clerks as a matter of law.  (Secs. 32.032, 32.033). 
The presiding judge then appoints an additional clerk(s), but not more than the maximum set by the governing body. (Sec. 32.033). Presiding judges and their alternates must be given a Notice of Appointment (PDF) not later than the 20th day after the appointment is made. (Sec. 32.009). If the appointment is for a single election, the notice may be combined with the Writ of Election (PDF), which is required to be delivered to each presiding judge not later than the 15th day before the election, Monday, October 24, 2022. (Secs. 4.007, 32.009(e)). If the notices are combined, both must be delivered by the date required by the earlier notice.
NOTE:  If you are conducting a joint election with the county, please be advised that the Election Code places many requirements on the method of selecting people who must be appointed by the county to work in the November General Election for state and county officers. See Sections 32.002 and 32.034, Election Code.
NOTE - Water Districts: A water district is not required to provide a Notice of Appointment to a presiding judge, as required under Section 32.009, but must provide a Writ of Election (PDF). (Sec. 4.007, Election Code; Sec. 49.110, Water Code).
Recommended date to appoint the presiding judge of the early voting ballot board and alternate presiding judge or to designate the election workers of one election precinct to serve as the early voting ballot board. (Secs. 87.001, 87.002, 87.004). There is no statutory notice requirement for members of the early voting ballot board, but good practice suggests that written notice be given to them.
NOTE – NEW LAW: SB 1 (2021, 2nd C.S.) amended Section 87.002 to require the early voting ballot board to have an alternate judge. The alternate judge is appointed in the same manner as the presiding judge.
Recommended date to appoint the central counting station personnel (manager, tabulation supervisor and assistants to the tabulation supervisor) if applicable. (Secs. 127.002, 127.003, 127.004, 127.005). There is no statutory notice requirement for members of the central counting station, but good practice suggests that written notice be given to them.
Recommended date that local political subdivisions and county election officials meet to discuss contracting for election services or holding a joint election. NOTE: This is not a deadline; just a recommendation.</t>
        </r>
        <r>
          <rPr>
            <b/>
            <sz val="9"/>
            <color indexed="81"/>
            <rFont val="Tahoma"/>
            <family val="2"/>
          </rPr>
          <t xml:space="preserve">
</t>
        </r>
        <r>
          <rPr>
            <sz val="9"/>
            <color indexed="81"/>
            <rFont val="Tahoma"/>
            <family val="2"/>
          </rPr>
          <t xml:space="preserve">
</t>
        </r>
      </text>
    </comment>
    <comment ref="F11" authorId="0" shapeId="0">
      <text>
        <r>
          <rPr>
            <b/>
            <sz val="9"/>
            <color indexed="81"/>
            <rFont val="Tahoma"/>
            <family val="2"/>
          </rPr>
          <t xml:space="preserve">Thursday, August 25, 2022 (75th day before Election Day, 4th day before recommended ballot drawing date)
</t>
        </r>
        <r>
          <rPr>
            <sz val="9"/>
            <color indexed="81"/>
            <rFont val="Tahoma"/>
            <family val="2"/>
          </rPr>
          <t xml:space="preserve">Political Subdivisions Other Than Counties and Legislative Vacancies (if any): 6:00 p.m. — Last day to file an application for a place on the ballot or a Declaration of Write-In Candidacy (PDF) in a special election to fill a vacancy to be held on the date of the November General Election for state and county officers. (Sec. 201.054(f), (g)) Note: For future reference, please note that this deadline is not the same for elections held on the May uniform election date or on the November uniform election date in an odd-numbered year.
The authority conducting the ballot position drawing shall provide notice of the date, hour, and place of the drawing to candidates by this date if the drawing is to be conducted on Monday, August 29, 2022, as recommended. (Sec. 52.094(d)). If a candidate in a special election files on this date, they should be given a copy of the notice at the time they file.
NOTE-NEW LAW: Effective September 1, 2021, HB 3107 (2021, R.S.) amended Section 52.094 of the Code to require the authority conducting the drawing to provide notice of the date, hour, and place of the drawing to each candidate by: 1) written notice that is mailed to the address stated on the candidate’s application not later than the fourth day before the date of the drawing; or 2) provided at the time the candidate files an application with the appropriate authority. If notice was not provided at the time the candidate filed an application, the notice may be provided by telephone, if a telephone number is provided on the candidate’s application or by e-mail, if an e-mail address was provided on the candidate’s application. (Sec. 52.094).
</t>
        </r>
      </text>
    </comment>
    <comment ref="G11" authorId="0" shapeId="0">
      <text>
        <r>
          <rPr>
            <b/>
            <sz val="9"/>
            <color indexed="81"/>
            <rFont val="Tahoma"/>
            <family val="2"/>
          </rPr>
          <t xml:space="preserve">Friday, August 26, 2022 (74th day before Election Day)
</t>
        </r>
        <r>
          <rPr>
            <sz val="9"/>
            <color indexed="81"/>
            <rFont val="Tahoma"/>
            <family val="2"/>
          </rPr>
          <t>Counties: Deadline for a party nominee or independent candidate in the November General Election for state and county officers to withdraw from the election. (Secs. 145.032, 145.062).
Counties: Last day on which death, declaration of ineligibility, or withdrawal of a party nominee or an independent candidate for the November General Election for state and county officers causes an omission of the candidate’s name from the ballot. (Secs. 145.035, 145.039, 145.064, 145.065).  For certain exceptions regarding deceased candidates, please see Section 145.064(b)).
NOTE: Withdrawal request submitted by mail must be received by appropriate authority by this date. (Sec. 145.001(c)). A withdrawal request must also be sworn, and candidates may use the Certificate of Withdrawal (PDF). (Sec. 145.001(b)).
If a vacancy occurs on or before this date in a state, district, or county office not regularly scheduled for election in 2022, due to death, resignation, or removal of the officeholder, the unexpired term of the office shall be placed on the November 8, 2022 election ballot. (Sec. 202.002(a)). An appointment to fill the vacancy continues until the next succeeding general election and until a successor has been elected and has qualified for the office. Also, depending on the effective date of the vacancy, the office may also be voted on in the next succeeding primary election. (Secs. 202.002(b), 202.004). See Tex. Sec’y of State Election Advisory No. 2021-19.
Political Subdivisions Other Than Counties: 5:00 p.m. — Deadline for write-in candidates to file Declaration of Write-In Candidacy (PDF) for regular officers for city, school district, library district, junior college district, hospital district, common school districts, Chapter 36 and 49 Water Code districts, and other political subdivision elections, unless otherwise provided by law. (Secs. 144.006(b), 146.054(b), 146.055, Election Code; Secs. 11.056, 11.304, 130.0825, Education Code; Secs. 326.0431, 326.0432, Local Government Code; Sec. 285.131, Health and Safety Code; Secs. 36.059, 49.101, 63.0945, Water Code). See Candidacy Filing outline for more details.
NOTE: An application submitted by mail is considered to be filed at the time of its receipt by the appropriate filing authority. (Secs. 143.007(b), 144.005(b)).
Political Subdivisions Other Than Counties: If you plan on holding your ballot position drawing on Monday, August 29, 2022, then your Notice of Drawing for Place on Ballot (PDF) of such drawing should be posted today. The notice must be posted for 72 hours immediately preceding the time of the drawing. (Sec. 52.094(c)).
Political Subdivisions Other Than Counties: Recommended first day that a general or special election may be cancelled if all filing deadlines have passed, each candidate for an office listed on the ballot is unopposed (except as discussed below), and write-in votes may be counted only for names appearing on a list of write-in candidates. The Certification of Unopposed Candidates for Other Political Subdivisions (PDF) may be used to certify candidates as unopposed. Also, see our Sample Order of Cancellation (PDF).
A special election of a political subdivision is considered to be a separate election with a separate ballot from a general election for officers of the same political subdivision held at the same time as the special election. Therefore, the fact that there may be a proposition on the ballot will not prevent a cancellation of an election for candidates who are unopposed. (Sec. 2.051(a)). If any members of the political subdivision’s governing body are elected from territorial units, such as single member districts, an election may be cancelled in a particular territorial unit if each candidate for an office that is to appear on the ballot in that territorial unit is unopposed and no opposed at-large race is to appear on the ballot. An unopposed at-large race may be cancelled in an election regardless of whether an opposed race is to appear on the ballot in a particular territorial unit. (Sec. 2.051(b)).  This recommended cancellation deadline considers a regular filing deadline of Monday, August 22, 2022, a special election filing deadline of Thursday, August 25, 2022, and a regular write-in deadline of Friday, August 26, 2022.  For additional information, consult the outline on Cancellation of Election for Local Political Subdivisions.
NOTE – NEW LAW: SB 1 (2021, 2nd C.S.) amended Sections 2.053 and 2.056 of the Texas Election Code to make this cancellation process mandatory, rather than discretionary. For additional information, consult the outline on Cancellation of Election for Local Political Subdivisions.
State and County Offices: The certifying authority must certify, in writing, that a candidate is unopposed in an election for office. The certifying authority is the secretary of state (for statewide or district offices) or the county clerk (for county and precinct offices). If an unopposed candidate is declared elected by the certifying authority, the election for that office is not held and the name of the candidate is listed on the ballot as elected to the office. Offices and names of any candidates declared elected shall be listed separately after the contested races in the election under the heading “Unopposed Candidates Declared Elected.” The candidates shall be grouped according to their respective political party affiliations or status as independents in the same relative order prescribed for the ballot generally. For more information, see Tex. Sec’y of State Election Advisory No. 2022-16.</t>
        </r>
      </text>
    </comment>
    <comment ref="C13" authorId="0" shapeId="0">
      <text>
        <r>
          <rPr>
            <b/>
            <sz val="9"/>
            <color indexed="81"/>
            <rFont val="Tahoma"/>
            <family val="2"/>
          </rPr>
          <t xml:space="preserve">Monday, August 29, 2022 (71st day before Election Day)
</t>
        </r>
        <r>
          <rPr>
            <sz val="9"/>
            <color indexed="81"/>
            <rFont val="Tahoma"/>
            <family val="2"/>
          </rPr>
          <t>Political Subdivisions Other Than Counties: The Elections Division recommends that you hold your ballot position drawing no later than today to determine the order of candidates’ names on the ballot (Sec. 52.094) and that you certify today to the county election officer the offices, propositions (in all necessary languages), and candidates’ names (including the order) as they are to appear on the ballot, if you are contracting to have the county conduct your election or if you are conducting a joint election with the county.
NOTE: After the ballot drawing has occurred, the Elections Division recommends that you proof and test your ballot programming as soon as possible and prior to the deadline to mail a ballot if the political subdivision will be using automatic tabulating equipment to count the mail ballots or if your mail ballots are printed from the same database used to program your precinct scanners and/or DREs (See Note 13 above). The Elections Division also recommends that you provide candidates with copies of ballot proofs so that candidates may verify the correctness of their names, positions sought, and order of names on the ballot.
NOTE: Ballot position for the November General Election for state and county officers is determined by Sections 52.091 and 52.092, Election Code.
Counties: 5:00 p.m. — Deadline for party chair to deliver replacement nominee or nominee to fill vacancy in an unexpired term to the appropriate officer (for a vacancy in an office that would not normally be on the 2022 ballot and that occurred after December 8, 2021 but not later than August 26, 2022). (Secs. 145.036, 145.037(e), 171.022, 201.022, 202.006).  See Texas Sec’y of State Election Advisory No. 2021-19 for further information on this deadline and related procedures.
Political Subdivisions Other Than Counties: 5:00 p.m. — Last day for a candidate to withdraw from a general election, by submission of a notarized Certificate of Withdrawal (PDF) or a notarized letter, or to be declared ineligible.  If a candidate withdraws or is declared ineligible by this date, his or her name is omitted from the ballot. (Secs. 146.054(c), 145.092(f), 145.094(a)(4), 145.096(a)(4)).
Counties and Other Political Subdivisions: 5:00 p.m. — Last day to withdraw as a write-in candidate in the general election for state and county officers, or a general or special election ordered by a political subdivision other than a county. (Secs. 144.006(c), 146.0301, 146.054(c)). Candidates may use the Certificate of Withdrawal (PDF).</t>
        </r>
      </text>
    </comment>
    <comment ref="D13" authorId="0" shapeId="0">
      <text>
        <r>
          <rPr>
            <b/>
            <sz val="9"/>
            <color indexed="81"/>
            <rFont val="Tahoma"/>
            <family val="2"/>
          </rPr>
          <t xml:space="preserve">Tuesday, August 30, 2022 (70th day before Election Day)
</t>
        </r>
        <r>
          <rPr>
            <sz val="9"/>
            <color indexed="81"/>
            <rFont val="Tahoma"/>
            <family val="2"/>
          </rPr>
          <t>Legislative Vacancies:  Last day for all candidates (including write-in candidates) to withdraw from a special election to fill a legislative vacancy (if any).  (Secs. 146.083, 145.092(a)).
Political Subdivisions Other Than Counties: 5:00 p.m. —Last day for a candidate to withdraw from a special election, by submission of a notarized Certificate of Withdrawal (PDF) or a notarized letter, or to be declared ineligible.  If a candidate withdraws or is declared ineligible by this date, his or her name is omitted from the ballot. (Sec. 145.092(a)).</t>
        </r>
      </text>
    </comment>
  </commentList>
</comments>
</file>

<file path=xl/comments7.xml><?xml version="1.0" encoding="utf-8"?>
<comments xmlns="http://schemas.openxmlformats.org/spreadsheetml/2006/main">
  <authors>
    <author>Author</author>
  </authors>
  <commentList>
    <comment ref="F5" authorId="0" shapeId="0">
      <text>
        <r>
          <rPr>
            <b/>
            <sz val="9"/>
            <color indexed="81"/>
            <rFont val="Tahoma"/>
            <family val="2"/>
          </rPr>
          <t xml:space="preserve">Thursday, September 1, 2022 (68th day before Election Day)
</t>
        </r>
        <r>
          <rPr>
            <sz val="9"/>
            <color indexed="81"/>
            <rFont val="Tahoma"/>
            <family val="2"/>
          </rPr>
          <t xml:space="preserve">Deadline for Secretary of State (federal, state and district offices) and county judge (countywide and precinct offices) to certify names of independent and declared write-in candidates to county election officer for placement on the November 8, 2022 ballot. (Secs. 142.010, 146.029(c)). The following forms may be used:
Certification of Independent Candidates by County Judge [PDF]
Certificate of Write‑in Candidacy (For County and Precinct Offices) [PDF]
Deadline for Secretary of State to certify to county election officer names of party nominees for statewide and district offices for placement on November 8, 2022 ballot, and deadline for Secretary of State to post major party nominees for county and precinct offices. (Secs. 161.008, 172.117).
</t>
        </r>
      </text>
    </comment>
    <comment ref="G7" authorId="0" shapeId="0">
      <text>
        <r>
          <rPr>
            <b/>
            <sz val="9"/>
            <color indexed="81"/>
            <rFont val="Tahoma"/>
            <family val="2"/>
          </rPr>
          <t xml:space="preserve">Friday, September 9, 2022 (60th day before Election Day)
</t>
        </r>
        <r>
          <rPr>
            <sz val="9"/>
            <color indexed="81"/>
            <rFont val="Tahoma"/>
            <family val="2"/>
          </rPr>
          <t>Political Subdivisions Other Than Counties: Last day for the governing body of a political subdivision to deliver notice of the election to the county election officer and voter registrar of each county in which the political subdivision is wholly or partly located. (Sec. 4.008).
NOTE FOR COUNTIES - Section 4.003 requires that counties post on the county website the notice and list of polling locations of any political subdivision that delivers their notice to the county under Section 4.008. This is regardless of whether the county is contracting with the entity. See Note 8 for more information on the requirements related to the Notice of Election.
NOTE-NEW LAW: HB 3107 (2021, R.S.) requires the notice of election to include the Internet website of the authority conducting the election. (Sec. 4.004(a)).
NOTE-NEW LAW: HB 3107 (2021, R.S.) amended Section 83.010 to require an election order and the election notice to state the early voting clerk’s official mailing address or street address at which the clerk may receive delivery by common or contract carrier, if different, phone number, e-mail address, and the Internet website, if the early voting clerk has an Internet website. (Sec. 83.010) .
Recommended date for county clerk/county elections administrator to deliver an initial list of voters who have submitted annual applications for ballot by mail under Section 86.0015 and scans or photocopies of those applications to the early voting clerk of any political subdivision located within the county that is holding an election on November 8, 2022. The list should only include voters that reside in the political subdivision holding the election. The list should only be created and sent to those political subdivisions that have provided notice of the election to the county clerk/elections administrator. See also, the note below and the entry at Friday, October 28, 2022 for more information about delivery of a final list of voters. See entry at October 27, 2022 for more information on the delivery of copies/images of the applications. The county election officer should transmit copies of the applicable ABBMs and FPCAs through a secure method. This may include hand-delivering the copies, arranging for the local entity to pick up the copies, or utilizing an encrypted email or file transfer protocol. See Answer 17 in Tex. Sec’y of State Election Advisory No. 2022-08.
NOTE:  Section 86.0015 requires the county clerk/elections administrator to provide a list of voters that have submitted an annual application for ballot by mail to all political subdivisions in their county holding an election. The law only applies to elections for which the county clerk/elections administrator is not the early voting clerk via a contract for election services or joint election agreement. The Election Division strongly recommends that the county and political subdivisions discuss the frequency and method for which these lists should be transmitted to ensure that ballots are sent out in a timely manner. Finally, the county clerk/elections administrator must deliver either photocopies or scanned images of the applications (under Section 87.126) to the early voting clerk of the political subdivision before the ballots by mail are delivered to the early voting ballot board for qualifying and counting under Section 87.041.</t>
        </r>
      </text>
    </comment>
    <comment ref="C9" authorId="0" shapeId="0">
      <text>
        <r>
          <rPr>
            <b/>
            <sz val="9"/>
            <color indexed="81"/>
            <rFont val="Tahoma"/>
            <family val="2"/>
          </rPr>
          <t xml:space="preserve">Monday, September 12, 2022 (57th day before Election Day; 21st day after August 22, 2022)
</t>
        </r>
        <r>
          <rPr>
            <sz val="9"/>
            <color indexed="81"/>
            <rFont val="Tahoma"/>
            <family val="2"/>
          </rPr>
          <t xml:space="preserve">Political Subdivisions Other Than Counties: Last day to notify election judges of their appointment if they were appointed, as recommended, on Monday, August 22, 2022. (Secs. 1.006, 32.009(b)). Presiding and alternate judges must be notified (PDF) of their appointment in writing, not later than the 20th day after the date the appointment is made. The deadline is extended to the next regular business day which is Monday, September 12, 2022 due to the 20th day falling on Sunday, September 11, 2022.
The notice of the judge’s duty to conduct the election (Writ of Election (PDF)) pursuant to Section 4.007 may be combined with the above notice, if the appointment is for a single election only. If the notices are NOT combined, then the notice of the judge’s duty to conduct the election (writ of election) must be delivered not later than the 15th day before election day, Monday, October 24, 2022.
</t>
        </r>
      </text>
    </comment>
    <comment ref="C11" authorId="0" shapeId="0">
      <text>
        <r>
          <rPr>
            <b/>
            <sz val="9"/>
            <color indexed="81"/>
            <rFont val="Tahoma"/>
            <family val="2"/>
          </rPr>
          <t xml:space="preserve">Monday, September 19, 2022 (50th day before Election Day)
</t>
        </r>
        <r>
          <rPr>
            <sz val="9"/>
            <color indexed="81"/>
            <rFont val="Tahoma"/>
            <family val="2"/>
          </rPr>
          <t>Deadline to challenge the filing of an application for a place on the ballot as to form, content, and procedure. (Sec. 141.034).
NOTE-NEW LAW: HB 3107 (2021, R.S.) amended Section 141.034 of the Code to provide that a candidate application cannot be challenged for “Form, Content, and Procedure” defects after the 50th day before the date of the election for which the application is made. (Sec. 141.034).
Last day to publish notice (PDF) for testing of automatic tabulation equipment testing and logic and accuracy testing (L&amp;A testing) of a voting system that uses direct recording electronic (DRE) voting machines and precinct scanners if test will be completed by recommended deadline of Wednesday, September 21, 2022. Notice of the public tests must be published at least 48 hours before the test begins. (Secs. 127.093, 127.096, 129.022, 129.023). See Note 13, above.</t>
        </r>
        <r>
          <rPr>
            <b/>
            <sz val="9"/>
            <color indexed="81"/>
            <rFont val="Tahoma"/>
            <family val="2"/>
          </rPr>
          <t xml:space="preserve">
Monday, September 19, 2022 - Sunday, December 18, 2022 (50th day before Election Day through 40th day after Election Day)
</t>
        </r>
        <r>
          <rPr>
            <sz val="9"/>
            <color indexed="81"/>
            <rFont val="Tahoma"/>
            <family val="2"/>
          </rPr>
          <t>Mandatory Office Hours: Each county clerk, city secretary or secretary of a governing body (or the person performing duties of a secretary) must keep the office open for election duties for at least 3 hours each day, during regular office hours, on regular business days. (Sec. 31.122).
NOTE for Independent School Districts:  A “regular business day” means a day on which the school district’s main business office is regularly open for business.  (Sec. 31.122(b)).
NOTE - Special Elections: In the case of a special election, the office hour rule is triggered starting the    third day after the special election is ordered. (Sec. 31.122).
NOTE-NEW LAW: HB 3107 (2021, R.S.) amended Section 31.096 of the Code, which addresses nontransferable functions under an election services contract. Specifically, an election services contract may not change the political subdivision’s requirement to maintain office hours under Section 31.122. The amendment to Section 31.096 of the Code also allows a county that has contracted with a city to be the custodian of voted ballots for a city election. (Sec. 31.096).</t>
        </r>
      </text>
    </comment>
    <comment ref="E11" authorId="0" shapeId="0">
      <text>
        <r>
          <rPr>
            <b/>
            <sz val="9"/>
            <color indexed="81"/>
            <rFont val="Tahoma"/>
            <family val="2"/>
          </rPr>
          <t xml:space="preserve">Wednesday, September 21, 2022 (48th day before Election Day)
</t>
        </r>
        <r>
          <rPr>
            <sz val="9"/>
            <color indexed="81"/>
            <rFont val="Tahoma"/>
            <family val="2"/>
          </rPr>
          <t>Recommended date to conduct the first test of the automatic tabulating equipment and for logic and accuracy (L&amp;A test) test on precinct scanners and DREs. (Secs. 127.093, 127.096, 129.022, 129.023). The SOS recommends you complete your first round of testing prior to mailing your mail ballots if those ballots will be counted using automatic tabulation equipment. If you conduct your first round of testing by this date, you must publish notice of the test 48 hours prior to testing.  See Note 13, above.
NOTE-NEW LAW: SB 1 (2021, 2nd C.S.) requires the general custodian of election records to demonstrate, using a representative sample of voting system equipment, that the source code of the equipment has not been altered. (Sec. 129.023(c-1)). See Tex. Sec'y of State Election Advisory No. 2019-23 for more information on voting system procedures.</t>
        </r>
        <r>
          <rPr>
            <b/>
            <sz val="9"/>
            <color indexed="81"/>
            <rFont val="Tahoma"/>
            <family val="2"/>
          </rPr>
          <t xml:space="preserve">
</t>
        </r>
        <r>
          <rPr>
            <sz val="9"/>
            <color indexed="81"/>
            <rFont val="Tahoma"/>
            <family val="2"/>
          </rPr>
          <t xml:space="preserve">
</t>
        </r>
      </text>
    </comment>
    <comment ref="H11" authorId="0" shapeId="0">
      <text>
        <r>
          <rPr>
            <b/>
            <sz val="9"/>
            <color indexed="81"/>
            <rFont val="Tahoma"/>
            <family val="2"/>
          </rPr>
          <t>Saturday, September 24, 2022 (45th day before Election Day)</t>
        </r>
        <r>
          <rPr>
            <sz val="9"/>
            <color indexed="81"/>
            <rFont val="Tahoma"/>
            <family val="2"/>
          </rPr>
          <t xml:space="preserve">
Deadline to mail ballots to military or overseas voters who already submitted their ballot requests via a federal postcard application (FPCA) or via a standard application for ballot by mail (ABBM) and indicated that they are outside the United States.  If the early voting clerk cannot meet this 45th-day deadline, the clerk must notify the Secretary of State within 24 hours. (Sec. 86.004(b)).
NOTE: The 45th Day deadline under Section 86.004(b) is not extended by Section 1.006 to the next business day. The ballots covered by Section 86.004(b) should be sent out on or before Saturday, September 24, 2022.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NOTE-NEW LAW: HB 3107 (2021, R.S.) amended Section 101.052 of the Code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Reminder Regarding FPCAs and Overseas ABBMs:  If the EV clerk receives an FPCA (from a military or non-military voter) or an ABBM from an overseas voter after the 45th day deadline, then the ballot must be mailed within seven days after the EV clerk receives the FPCA or ABBM. (Secs. 86.004(b), 101.104).
Reminder: In regards to mail ballots for other voters (not military voters using an FPCA or overseas voters using an FPCA or ABBM), the early voting clerk must mail a ballot not later than the 7th day after the later of: (1) the date the early voting clerk has accepted a voter’s application for a ballot by mail or (2) the date the ballots become available for mailing. However, if the 7th day falls earlier than the 37th day before election day, the voter’s mail ballot must be mailed no later than the 30th day before election day. (Sec. 86.004(a)). This means that for every application that is accepted by the early voting clerk before the 37th day before election day, the balloting materials must be mailed by the 30th day before election day. Any application that comes in after the 37th day before election day will follow the 7-day timeline in Sec. 86.004.
NOTE: Information on the early voting roster for both early voting in person and early voting by mail must be made available for public inspection and on the county’s website if the county clerk or elections administrator is serving as the early voting clerk. For an election held by a political subdivision in which the county clerk or elections administrator is not serving as the political subdivision’s early voting clerk, then the information on the roster must be made available on the Internet website of the authority ordering the election. The early voting roster shall be posted by 11:00 AM on the day after the information is entered on the roster (for early voting in person) or by 11:00 AM on the day after the early voting clerk receives a ballot voted by mail. If the entity does not maintain a website, the information must be on the bulletin board used for posting notices. (Sec. 87.121).
NOTE-NEW LAW: HB 1622 (2021, R.S.) amended Section 87.121 of the Code to provide that if an early voting clerk fails to post their early voting rosters in accordance with Section 87.121, a person registered to vote in the county where the early voting clerk is conducting early voting may file a complaint with the Secretary of State regarding the early voting clerk’s noncompliance. The Secretary of State by rule shall create and maintain a system for receiving and recording these complaints. (Sec. 87.121).
</t>
        </r>
      </text>
    </comment>
    <comment ref="C13" authorId="0" shapeId="0">
      <text>
        <r>
          <rPr>
            <b/>
            <sz val="9"/>
            <color indexed="81"/>
            <rFont val="Tahoma"/>
            <family val="2"/>
          </rPr>
          <t>Monday, September 26, 2022 (43rd day before Election Day, 28th day before early voting begins)</t>
        </r>
        <r>
          <rPr>
            <sz val="9"/>
            <color indexed="81"/>
            <rFont val="Tahoma"/>
            <family val="2"/>
          </rPr>
          <t xml:space="preserve">
Last day for county chairs to supplement list of names for early voting officer list. (Secs. 1.006, 85.009). The deadline is extended to the next regular business day which is Monday, September 26, 2022 due to September 24, 2022 falling on a Saturday.</t>
        </r>
      </text>
    </comment>
  </commentList>
</comments>
</file>

<file path=xl/comments8.xml><?xml version="1.0" encoding="utf-8"?>
<comments xmlns="http://schemas.openxmlformats.org/spreadsheetml/2006/main">
  <authors>
    <author>Author</author>
  </authors>
  <commentList>
    <comment ref="C7" authorId="0" shapeId="0">
      <text>
        <r>
          <rPr>
            <b/>
            <sz val="9"/>
            <color indexed="81"/>
            <rFont val="Tahoma"/>
            <family val="2"/>
          </rPr>
          <t>Monday, October 3, 2022 (36th day before Election Day)</t>
        </r>
        <r>
          <rPr>
            <sz val="9"/>
            <color indexed="81"/>
            <rFont val="Tahoma"/>
            <family val="2"/>
          </rPr>
          <t xml:space="preserve">
Deadline for the Secretary of State to mail each county judge a copy of the Governor’s proclamation ordering the November General Election for state and county officers. (Sec. 3.003(c)).
Counties: Deadline to receive a petition signed by 15 registered voters by the early voting clerk requesting that a signature verification committee be created. A request submitted by mail is considered to be submitted at the time of its receipt by the early voting clerk. (Sec. 87.027(a-1)). The deadline is extended to the next regular business day, Monday, October 3, 2022 due to October 1 falling on Saturday.</t>
        </r>
      </text>
    </comment>
    <comment ref="G7" authorId="0" shapeId="0">
      <text>
        <r>
          <rPr>
            <b/>
            <sz val="9"/>
            <color indexed="81"/>
            <rFont val="Tahoma"/>
            <family val="2"/>
          </rPr>
          <t xml:space="preserve">Friday, October 7, 2022 (32nd day before Election Day)
</t>
        </r>
        <r>
          <rPr>
            <sz val="9"/>
            <color indexed="81"/>
            <rFont val="Tahoma"/>
            <family val="2"/>
          </rPr>
          <t xml:space="preserve">Recommended date for early voting clerk to issue order calling for appointment of signature verification committee. (Sec. 87.027). This form may be used to issue order: Order Calling for Signature Verification Committee (PDF). 
If the signature verification committee will start meeting on October 19, 2022, early voting clerk must post a copy of the order calling for appointment of the signature verification committee on or before this date, in order to give notice of the meeting. The order must remain posted continuously for at least 10 days before the first day the committee meets. (Sec. 87.027). </t>
        </r>
      </text>
    </comment>
    <comment ref="B9" authorId="0" shapeId="0">
      <text>
        <r>
          <rPr>
            <b/>
            <sz val="9"/>
            <color indexed="81"/>
            <rFont val="Tahoma"/>
            <family val="2"/>
          </rPr>
          <t xml:space="preserve">Sunday, October 9, 2022 (30th day before Election Day)
</t>
        </r>
        <r>
          <rPr>
            <sz val="9"/>
            <color indexed="81"/>
            <rFont val="Tahoma"/>
            <family val="2"/>
          </rPr>
          <t>First day of period during which notice of the general election for state and county officers and other elections must be published in a newspaper of general circulation if method of giving notice is not specified by a law outside the Texas Election Code, and this method of giving notice is selected. The notice for elections ordered by the governor or by an authority of a city or school district must be given by publication in a newspaper in addition to any other method specified by a law outside the Election Code. (Sec. 4.003(a)(1), (c), (d)). This notice may be combined with the other notices you are required to publish. The election notice shall be posted on the political subdivision’s website. See Note 8.  
NOTE-NEW LAW: HB 3107 (2021, R.S.) requires the notice of election to include the Internet website of the authority conducting the election. (Sec. 4.004(a)).
NOTE-NEW LAW: HB 3107 (2021, R.S.) amended Section 83.010 of the Code to require an election order and the election notice to state the early voting clerk’s official mailing address and also the street address at which the clerk may receive delivery by common or contract carrier, if different, phone number, e-mail address, and the Internet website, if the early voting clerk has an Internet website. (Sec. 83.010).
Cities, Schools, and Other Political Subdivisions:  It is strongly recommended that the Notice of Voting Order Priority (PDF) for voters with mobility issues also be posted on the subdivision’s website, if one is maintained by the political subdivision. (Secs. 63.0015, 85.007(d)). For more information on this requirement, see Note 14.
Counties: The recommended time to include this notice on a county website is when the notice of election is also posted on the website. (Secs. 63.0015, 85.007(d)).
NOTE: Notice of Change of Polling Place Location: For elections ordered by the governor or county judge only, if the location of the polling place changes after notice has been given under Section 4.003,   and the county election officer maintains a website to inform voters about elections, the notice of the   change must be posted on the website. The notice on the website must be given not later than the earlier of (1) 24 hours after the location was changed; or (2) 72 hours before the polls open on election day. (Sec.43.061). The Notice of Change to Polling Place (PDF) form may be used for this notice.
NOTE: Notice of Previous Polling Place: If a different polling place is being used than at the previous election held by the same authority, Notice of Change to Polling Place (PDF) must be posted at the entrance of the previous polling place informing voters of the current polling place location, if possible. (Sec. 43.062).</t>
        </r>
      </text>
    </comment>
    <comment ref="C9" authorId="0" shapeId="0">
      <text>
        <r>
          <rPr>
            <b/>
            <sz val="9"/>
            <color indexed="81"/>
            <rFont val="Tahoma"/>
            <family val="2"/>
          </rPr>
          <t>Monday, October 10, 2022 (Columbus Day)</t>
        </r>
      </text>
    </comment>
    <comment ref="D9" authorId="0" shapeId="0">
      <text>
        <r>
          <rPr>
            <b/>
            <sz val="9"/>
            <color indexed="81"/>
            <rFont val="Tahoma"/>
            <family val="2"/>
          </rPr>
          <t xml:space="preserve">Tuesday, October 11, 2022 (28th day before Election Day)
</t>
        </r>
        <r>
          <rPr>
            <sz val="9"/>
            <color indexed="81"/>
            <rFont val="Tahoma"/>
            <family val="2"/>
          </rPr>
          <t>Last day to register to vote for the Tuesday, November 8, 2022 election. (Secs. 1.006, 13.143).  The deadline is extended to the next regular business day which is Tuesday, October 11, 2022 due to the 30th day falling on Sunday, October 9, 2022 and Monday, October 10, 2022 is a holiday, Columbus Day.  (Secs. 13.143(e), 15.025(d)).
NOTE:  A Federal Postcard Application (FPCA (PDF)) also serves as an application for permanent registration under Texas law unless the voter marked “my intent to return is uncertain” (2019 form), or “my return is uncertain” (2017 form). The early voting clerk should make a copy (for mailing ballots, keeping records, etc.), then should forward the original to the county voter registrar, as soon as practicable. (Sec. 101.055; 1 T.A.C. § 81.40(a), (c)(2)).
Last day for a voter to make a change of address that will be effective for the November 8, 2022 election. A voter who submits a change of address after this date may still be eligible to return to his or her previous precinct to vote under “fail-safe” voting, if he or she still resides in the same county and the same local political subdivision, if applicable, conducting the election. (Secs. 15.025, 63.0011).
Recommended last day for early voting clerk to coordinate with the voter registrar receipt of supplemental and registration correction lists, if applicable, or coordinate receipt of revised original list from the voter registrar for early voting by personal appearance. (Secs. 18.001, 18.002, 18.003, 18.004). 
NOTE- Per Sections 18.002 and 18.003 of the Code, supplemental and corrected voter registration lists must be provided as needed to ensure all eligible voters appear on the official list of registered voters. (Secs. 18.002, 18.003).</t>
        </r>
      </text>
    </comment>
    <comment ref="E9" authorId="0" shapeId="0">
      <text>
        <r>
          <rPr>
            <b/>
            <sz val="9"/>
            <color indexed="81"/>
            <rFont val="Tahoma"/>
            <family val="2"/>
          </rPr>
          <t xml:space="preserve">Wednesday, October 12, 2022 (27th day before Election Day)
</t>
        </r>
        <r>
          <rPr>
            <sz val="9"/>
            <color indexed="81"/>
            <rFont val="Tahoma"/>
            <family val="2"/>
          </rPr>
          <t>Deadline for the county election board (or governing body of political subdivision, as appropriate) to appoint (PDF) a signature verification committee (if one was ordered by the early voting clerk not later than Friday, October 7, 2022 and not required due to petition by 15 registered voters). See entry under Friday, October 7, 2022. 
The members must be appointed not later than the fifth day after the order was issued by the early voting clerk. The appointing authority must post a notice of the appointment of committee members continuously until the last day the signature verification committee meets. (Sec. 87.027). 
This form may be used for the notice: Notice of Appointment of Signature Verification Committee (PDF). We strongly recommend that all entities create a signature verification committee so that voters will be timely notified of defects in their carrier envelopes.</t>
        </r>
        <r>
          <rPr>
            <b/>
            <sz val="9"/>
            <color indexed="81"/>
            <rFont val="Tahoma"/>
            <family val="2"/>
          </rPr>
          <t xml:space="preserve">
</t>
        </r>
      </text>
    </comment>
    <comment ref="G9" authorId="0" shapeId="0">
      <text>
        <r>
          <rPr>
            <b/>
            <sz val="9"/>
            <color indexed="81"/>
            <rFont val="Tahoma"/>
            <family val="2"/>
          </rPr>
          <t xml:space="preserve">Friday, October 14, 2022 (25th day before Election Day)
</t>
        </r>
        <r>
          <rPr>
            <sz val="9"/>
            <color indexed="81"/>
            <rFont val="Tahoma"/>
            <family val="2"/>
          </rPr>
          <t>Counties: Deadline for Democratic and Republican County Chairs to submit to the precinct presiding judges for each election day precinct, a list containing at least two persons who are eligible to serve as election clerks, in order to secure appointment of clerks affiliated or aligned with their respective parties. (Sec. 32.034(b)).</t>
        </r>
      </text>
    </comment>
    <comment ref="C11" authorId="0" shapeId="0">
      <text>
        <r>
          <rPr>
            <b/>
            <sz val="9"/>
            <color indexed="81"/>
            <rFont val="Tahoma"/>
            <family val="2"/>
          </rPr>
          <t xml:space="preserve">Monday, October 17, 2022 (22nd day before Election Day)
</t>
        </r>
        <r>
          <rPr>
            <sz val="9"/>
            <color indexed="81"/>
            <rFont val="Tahoma"/>
            <family val="2"/>
          </rPr>
          <t>Counties: Deadline for county election board to appoint (PDF) signature verification committee if a valid petition requesting one to be created was presented to the early voting clerk by the deadline, Monday, October 3, 2022. (Sec. 87.027(a-1), (c)).</t>
        </r>
      </text>
    </comment>
    <comment ref="D11" authorId="0" shapeId="0">
      <text>
        <r>
          <rPr>
            <b/>
            <sz val="9"/>
            <color indexed="81"/>
            <rFont val="Tahoma"/>
            <family val="2"/>
          </rPr>
          <t xml:space="preserve">Tuesday, October 18, 2022 (21st day before Election Day)
</t>
        </r>
        <r>
          <rPr>
            <sz val="9"/>
            <color indexed="81"/>
            <rFont val="Tahoma"/>
            <family val="2"/>
          </rPr>
          <t>Last day to post notice of election on bulletin board used for posting notices of meetings of governing body. (Sec. 4.003(b)).  A Record of Posting Notice of Election (PDF) should be completed at the time of posting.  (Sec. 4.005). See Note on Notice of Elections.
Last day to post notice of election in each election precinct, if the method of giving notice is not specified by a law outside the Election Code and notice is given by this method in lieu of publication. (Sec. 4.003(a)(2)). Cities and school districts must publish their notice in the newspaper. A Record of Posting Notice of Election (PDF) should be completed at the time of posting.  (Sec. 4.005).
NOTE for All Political Subdivisions: The election notice shall be posted on the political subdivision’s website, if the political subdivision maintains a website. The order and notice should include all days and hours for early voting by personal appearance including voting on ANY Saturday or Sunday. (Secs. 85.006, 85.007). Note for counties, the election notice must be subsequently amended to include voting later ordered for ANY Saturday or Sunday and must be posted on the political subdivision’s website, if maintained.
NOTE FOR COUNTIES - Section 4.003 requires that counties post on the county website the notice and list of polling locations of any political subdivision that delivers their notice to the county under Section 4.008. This is regardless of whether the county is contracting with the entity and regardless of whether the entity is conducting their own election or contracting with the county.
For Bond Elections: First day a political subdivision must post on their Internet website prominently and together with the notice of the election, a copy of the sample ballot, and the contents of the proposition, if the political subdivision maintains an Internet website. (Sec. 4.003(f)).
The recommended time to include the notice of accepting voters with certain disabilities on a county website is when the notice of election is also posted on the website. (Secs. 63.0015, 85.007(d)). See Note 14 regarding notice on accepting voters with certain disabilities.
Counties, Cities, and School Districts: NEW LAW: SB 1116 (2021, R.S.) amended Chapter 4 of the Election Code by adding Section 4.009 regarding candidate and polling place information which must be posted on county, city, and school district websites. Last day for a county that holds an election or provides election services for an election to post certain information regarding the upcoming election(s) on the county’s website per Section 4.009. A city or independent school district that holds an election and maintains an Internet website must also post this same election information on their website even if the county is also posting this data. The information posted on the website must include:
the date of the election;
the location of each polling place;
each candidate for an elected office on the ballot; and
each measure on the ballot. (Sec. 4.009).</t>
        </r>
      </text>
    </comment>
    <comment ref="E11" authorId="0" shapeId="0">
      <text>
        <r>
          <rPr>
            <b/>
            <sz val="9"/>
            <color indexed="81"/>
            <rFont val="Tahoma"/>
            <family val="2"/>
          </rPr>
          <t xml:space="preserve">Wednesday, October 19, 2022 (20th day before Election Day; 5th day before the first day of early voting in person)
</t>
        </r>
        <r>
          <rPr>
            <sz val="9"/>
            <color indexed="81"/>
            <rFont val="Tahoma"/>
            <family val="2"/>
          </rPr>
          <t xml:space="preserve">Counties: Last day to petition for temporary branch polling place(s) in a county with a population of 100,000 to 120,000, if the voting at those branch locations is to begin on the first day of early voting, Monday, October 24, 2022. (Secs. 85.062(d)(3), 85.067).
Counties: Last day to post notice (PDF) of places, days, and hours for voting at branch early voting polling place if voting is to begin at that location on the first day of early voting in person. The schedule may be amended after the beginning of early voting by personal appearance to include notice of additional branch locations, but any amendment must be made and posted not later than the fifth day before voting begins at the additional temporary branch. (Secs. 85.062(d)(3), 85.067(c)).
Last day for a person to apply for a full ballot by mail using an FPCA, if the person is not a registered voter but meets the requirements under Title 2 of the Texas Election Code. (Secs.101.052(e), 101.055(a)). (If the voter marks the FPCA “my intent to return is uncertain” (2019 form) or “my return is uncertain” (2017 form), the voter receives a federal-only ballot.) Postmark with this date on the FPCA is proof that the applicant submitted the FPCA by this deadline. See Monday, October 24, 2022 for timeliness of an FPCA received without a postmark. (Sec. 101.052(e), (i)).
NOTE-NEW LAW: HB 3107 (2021, R.S.) amended Section 101.052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101.001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 Be sure to check the list of registered voters for permanent registration status. Also, state law authorizes an FPCA to also serve as an application for permanent registration; therefore, the person might be permanently registered based on a prior FPCA. Even if the FPCA arrives too late for a particular election, the early voting clerk will still need to forward the original FPCA to the county voter registrar, after making a copy for your early voting clerk’s use (mailing ballots, etc.) and records unless the voter marked “my intent to return is uncertain” (2019 form) or “my return is uncertain” (2017 form), in which case it will not serve as a permanent registration. (Sec. 101.055; 1 T.A.C. § 81.40).
NOTE: Overseas (non-military) voters marking the FPCA “my intent to return is uncertain” (2019 form (PDF), or “my return is uncertain” (2017 form (PDF) receive a federal ballot only regardless of the date filed. (Chapter 114). In a local election (where there is no federal office on the ballot), this means there is no ballot to send the voter.
Last day to publish notice of L&amp;A test for voting systems if test will be held on Friday, October 21, 2022, if testing has was not already completed by September 21, 2022. Notice of the public L&amp;A Test must be published at least 48 hours before the test begins. (Secs. 129.001, 129.023). See Note 13, above.   First day that a signature verification committee, if one is appointed, may begin operating. (Sec. 87.027(f)).
</t>
        </r>
      </text>
    </comment>
    <comment ref="F11" authorId="0" shapeId="0">
      <text>
        <r>
          <rPr>
            <b/>
            <sz val="9"/>
            <color indexed="81"/>
            <rFont val="Tahoma"/>
            <family val="2"/>
          </rPr>
          <t xml:space="preserve">Thursday, October 20, 2022 – Friday, October 28, 2022 (19th day before Election Day - 11th day before Election Day)
</t>
        </r>
        <r>
          <rPr>
            <sz val="9"/>
            <color indexed="81"/>
            <rFont val="Tahoma"/>
            <family val="2"/>
          </rPr>
          <t>A person submitting an FPCA (PDF) during this period who is not registered to vote is not entitled to receive a ballot for any non-federal election held on Tuesday, November 8, 2022. See entry below under October 24, 2022 (FPCA without a postmark). (Secs. 84.007, 101.052(e), (f)). The early voting clerk is required to maintain this application since it may be used for other elections.
NOTE-NEW LAW: HB 3107 (2021, R.S.) amended Section 101.052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NOTE: Be sure to check the list of registered voters for permanent registration status. Also, state law authorizes an FPCA to also serve as an application for permanent registration; therefore, the person might be permanently registered based on a prior FPCA. Even if the FPCA arrives too late for a particular election, the early voting clerk will still need to forward the original FPCA to the county voter registrar, after making a copy for your early voting clerk’s use (mailing ballots, etc.) and records unless the voter marked “my intent to return is uncertain” (2019 form (PDF), or “my return is uncertain” (2017 form), in which case it will not serve as a permanent registration. (Sec. 101.055; 1 T.A.C. § 81.40).
NOTE: Overseas (non-military) voters marking the FPCA “my intent to return is uncertain” (2019 form (PDF), or “my return is uncertain” (2017 form (PDF) receive a federal ballot only regardless of the date filed. (Chapter 114). In a local election (where there is no federal office on the ballot), this means there is no ballot to send the voter.</t>
        </r>
      </text>
    </comment>
    <comment ref="G11" authorId="0" shapeId="0">
      <text>
        <r>
          <rPr>
            <b/>
            <sz val="9"/>
            <color indexed="81"/>
            <rFont val="Tahoma"/>
            <family val="2"/>
          </rPr>
          <t xml:space="preserve">Friday, October 21, 2022 (18th day before Election Day; at least 48 hours before early voting begins)
</t>
        </r>
        <r>
          <rPr>
            <sz val="9"/>
            <color indexed="81"/>
            <rFont val="Tahoma"/>
            <family val="2"/>
          </rPr>
          <t xml:space="preserve">
If a defective application to vote early by mail is received on or before this date, the early voting clerk must mail the applicant a new application with explanation of defects and instructions for submitting the new application. For defective applications received after this date and before the end of early voting by personal appearance, the early voting clerk must mail only the Notice of Rejected Application for Ballot by Mail (PDF) and a statement that the voter is not entitled to vote early by mail unless he or she submits a sufficient application by the deadline, which is Friday, October 28, 2022. (Secs. 84.007(c), 86.008).
NOTE – NEW LAW: SB 1 (2021, 2nd C.S.) amended Section 86.001 to provide that if the information required by Section 84.002(a)(1-a) included on the application does not identify the same voter identified on the applicant’s voter registration application, the clerk shall reject the application. (Sec. 86.001(f)). If an application is rejected under Section 86.001(f), the clerk shall provide notice of the rejection.The notice must include information regarding the ability to correct or add the required information through the online ballot by mail tracker described in Section 86.015(c). (Sec. 86.001(f-1)). If the applicant corrects the application for ballot by mail online and that application subsequently identifies the same voter identified on the applicant’s voter registration application, the clerk shall provide a ballot to the voter. (Sec. 86.001(f-2)).
Last day to conduct public L&amp;A test of a voting system. We highly recommend that this test is done on an earlier date to allow time for corrections to programming, if necessary. (See Note 13, above). Per Section 129.023, the L&amp;A test shall be conducted not later than 48 hours before voting begins on such voting systems, assuming that the voting system will first be used for early voting in person.</t>
        </r>
      </text>
    </comment>
    <comment ref="C13" authorId="0" shapeId="0">
      <text>
        <r>
          <rPr>
            <b/>
            <sz val="9"/>
            <color indexed="81"/>
            <rFont val="Tahoma"/>
            <family val="2"/>
          </rPr>
          <t xml:space="preserve">Monday, October 24, 2022 (15th day before Election Day)
</t>
        </r>
        <r>
          <rPr>
            <sz val="9"/>
            <color indexed="81"/>
            <rFont val="Tahoma"/>
            <family val="2"/>
          </rPr>
          <t>First day to vote early in person. (Sec. 85.001(a), (c))
NOTE: The early voting period for the general election begins 17 days prior to election day, but because this day falls on a weekend (Saturday, October 22, 2022), it is extended to the next regular business day, Monday, October 24, 2022. (Sec. 85.001(c)).
NOTE: In the general election for state and county officers, a certain number of temporary branch locations must be established depending on the population size of the county:
in a county with a population of 400,000 or more, the commissioners court must establish one or more temporary polling places, other than the main early voting polling place, in each state representative district containing territory covered by the election.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in a county with a population of 120,000 or more but less than 400,000, the commissioners court must establish one or more temporary polling places, other than the main early voting polling place, in each commissioners precinct containing territory covered by the election.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or
in a county with a population of 100,000 or more but less than 120,000, the early voting clerk must establish one or more early voting polling places in each commissioners precinct for which the early voting clerk receives a timely filed written request signed by at least 15 registered voters of that precinct. The temporary polling place(s) must remain open the same days as the main early voting polling place for at least 8 hours each day or 3 hours each day if the city or county clerk does not serve as the early voting clerk for the territory holding the election and the territory has fewer than 1,000 registered voters. (Secs. 85.062, 85.064).
NOTE:  If a county has a population under 100,000, voting at a temporary branch polling place may be conducted on any days and during any hours of the period for early voting by personal appearance except that voting at a temporary branch polling place must be conducted on at least two consecutive business days and for at least 8 consecutive hours on each of those days. (Sec. 85.065).</t>
        </r>
        <r>
          <rPr>
            <b/>
            <sz val="9"/>
            <color indexed="81"/>
            <rFont val="Tahoma"/>
            <family val="2"/>
          </rPr>
          <t xml:space="preserve">
</t>
        </r>
        <r>
          <rPr>
            <sz val="9"/>
            <color indexed="81"/>
            <rFont val="Tahoma"/>
            <family val="2"/>
          </rPr>
          <t xml:space="preserve">
If early voting by personal appearance is required to be conducted for extended hours or for weekend hours, the county voter registrar’s office is required to remain open for providing voter registration information during the extended hours or weekend hours that the main early voting polling place is open for voting. (Secs. 12.004(d), 85.005(c); 85.006(e)).
NOTE: Voting by limited ballot must be done during the early voting period at the main early voting polling place (or by mail). (Sec. 112.002(a)).
Political subdivisions other than cities and counties: Early voting in person must be conducted for at least nine (9) hours each weekday that is not a legal state holiday unless the political subdivision has fewer than 1,000 registered voters, in which case early voting in person must be conducted for at least four (4) hours per day. (Sec. 85.005).
NOTE – NEW LAW: Political Subdivisions Other than Counties: Early voting in person at the main early voting polling place must be conducted for at least nine (9) hours each weekday that is not a legal state holiday unless the political subdivision has fewer than 1,000 registered voters, in which case early voting in person must be conducted for at least four (4) hours per day. (Sec. 85.005(b)).
NOTE – NEW LAW: Counties: Early voting in person must be conducted on each weekday of the early voting period that is not a legal state holiday and for a period of at least nine (9) hours, except that voting may not be conducted earlier than 6:00 AM or later than 10:00 PM. (Sec. 85.005(a)).
NOTE – NEW LAW: Cities: SB 1 (2021, 2nd C.S.) amended Section 85.005(d) to remove the provision that requires cities to choose two weekdays for the main early voting polling place location to be open for at least 12 hours during the regular early voting period. (Sec. 85.005).
NOTE – Independent School Districts: Despite the law that allows an ISD to be closed on school holidays during the mandatory office hours period, you are required to be open during the entire early voting period, except on legal state and national holidays.
NOTE – Joint Elections: If entities are conducting early voting by personal appearance jointly, we recommend a unified schedule covering all requirements; i.e., no entity’s requirements should be neglected or subtracted as a result of a joint agreement.
NOTE – NEW LAW: SB 1 (2021, 2nd C.S.) amended Section 61.002 to provide that immediately before the opening of the polls on the first day of early voting and on election day, the presiding judge or alternate judge shall confirm that the public counters on each voting machine are set to zero and shall print the tape that shows that there are zero votes for each candidate or measure on the ballot. Each election judge and alternate judge shall sign the printed tapes. (Sec. 61.002).
If an FPCA (PDF) is received by this date without a postmark to prove mailing date, the early voting clerk will accept the FPCA and mail the applicant a full ballot even if the applicant is not a permanently registered voter but meets the requirements under Title 2 of the Election Code (unless the voter marks “my intent to return is uncertain” (2019 form (PDF), or “my return is uncertain” (2017 form)) (Sec. 101.055; 1 T.A.C. § 81.40).
Last day to notify election judges of duty to hold election (Writ of Election (PDF) and Writ of Election – General Election for State and County Officers (PDF)). Notice must be given by the 15th day before the election or the 7th day after the day the election is ordered, whichever is later. The Writ of Election must be given to each presiding judge and include:
The judge’s duty to hold the election;
The type and date of election;
The polling place location at which the judge will serve;
The polling place hours; and
The maximum number of clerks the judge may appoint. (Sec. 4.007).</t>
        </r>
      </text>
    </comment>
    <comment ref="D13" authorId="0" shapeId="0">
      <text>
        <r>
          <rPr>
            <b/>
            <sz val="9"/>
            <color indexed="81"/>
            <rFont val="Tahoma"/>
            <family val="2"/>
          </rPr>
          <t xml:space="preserve">Tuesday, October 25, 2022 (14th day before Election Day)
</t>
        </r>
        <r>
          <rPr>
            <sz val="9"/>
            <color indexed="81"/>
            <rFont val="Tahoma"/>
            <family val="2"/>
          </rPr>
          <t>NOTE for Counties: Deadline to file a petition (PDF) in the November General Election for state and county officers to require the early voting clerk of a county with a population under 55,000 to conduct extended early voting at the main early voting polling place for 12 hours on the last Saturday of the early voting period, October 29, 2022. Voting may not be conducted earlier than 6:00 a.m. or later than 10:00 p.m. (Secs. 85.006(e), 85.007). Notice of weekend voting (PDF) must be posted beginning no later than Wednesday, October 26, 2022 and continuing through Friday, October 28, 2022.  (Sec. 85.007(c)).
Deadline to file a petition (PDF) in the November General Election for state and county officers to require the early voting clerk of a county with a population under 55,000 to conduct extended early voting at the main early voting polling place for 12 hours on each weekday of the last week of the early voting period (Monday, October 31, 2022 through Friday, November 4, 2022). Notice of extended hours (PDF) must be posted beginning no later than Wednesday, October 26, 2022 and continuing through Friday, November 4, 2022. (Secs. 85.005(c), 85.067).
NOTE: For counties with a population under 55,000, extended early voting at the main early voting polling place for 12 hours on each weekday of the last week of the early voting must be conducted if a petition is submitted by at least 15 registered voters of the county requesting those extended hours.</t>
        </r>
      </text>
    </comment>
    <comment ref="E13" authorId="0" shapeId="0">
      <text>
        <r>
          <rPr>
            <b/>
            <sz val="9"/>
            <color indexed="81"/>
            <rFont val="Tahoma"/>
            <family val="2"/>
          </rPr>
          <t xml:space="preserve">Wednesday, October 26, 2022 (13th day before Election Day; 72 hours preceding first hour Saturday early voting will be conducted)
</t>
        </r>
        <r>
          <rPr>
            <sz val="9"/>
            <color indexed="81"/>
            <rFont val="Tahoma"/>
            <family val="2"/>
          </rPr>
          <t xml:space="preserve">
NOTE for Counties : Deadline to file a petition (PDF) in the November General Election for state and county officers to require the early voting clerk of a county with a population under 55,000 to conduct extended early voting at the main early voting polling place for 6 hours on Sunday, October 30, 2022. Voting may not be conducted earlier than 9:00 a.m. or later than 10:00 p.m.(Sec. 85.006(e)). Notice of weekend voting (PDF) must be posted beginning no later than Thursday, October 27, 2022 and continuing through Saturday, October 29, 2022.  (Sec. 85.007(c)). 
NOTE for Counties : Last day to post notice on bulletin board for posting notice of meetings for the commissioners court and city council if early voting will be conducted on Saturday,October 29, 2022. (Sec. 85.007). Notice must be posted at least 72 hours before early voting begins on a Saturday or Sunday. If the county election officer on his/her own motion by written order orders early voting on Saturday or Sunday OR if the county election officer orders Saturday or Sunday voting after being petitioned to do so by at least 15 registered voters, such voting need not be included in the regular order or notice of the election. (Secs. 85.006(b), (d), 85.007(b), (c)).
Note for all Political Subdivisions, except Counties: Voting on ANY Saturday or Sunday ordered by the governing body on its own motion (i.e., not petitioned for by 15 registered voters) must be included in the order and notice of election. (Secs. 85.006, 85.007(a)).
NOTE: Section 85.007 requires that the election notice, which includes the days and hours of early voting, be posted on the political subdivision’s website, if the political subdivision maintains a website.</t>
        </r>
      </text>
    </comment>
    <comment ref="F13" authorId="0" shapeId="0">
      <text>
        <r>
          <rPr>
            <b/>
            <sz val="9"/>
            <color indexed="81"/>
            <rFont val="Tahoma"/>
            <family val="2"/>
          </rPr>
          <t xml:space="preserve">Thursday, October 27, 2022 (12th day before Election Day; day before the last day to apply for a ballot by mail)
</t>
        </r>
        <r>
          <rPr>
            <sz val="9"/>
            <color indexed="81"/>
            <rFont val="Tahoma"/>
            <family val="2"/>
          </rPr>
          <t>Counties: Last day to post notice (PDF) on bulletin board for posting notice of meetings of the commissioners court or city council, if early voting will be conducted on Sunday, October 30, 2022. (Sec. 85.007). Notice must be posted at least 72 hours before early voting begins on a Saturday or Sunday. See entry at Wednesday, October 26, 2022.
Note for all Political Subdivisions, except Counties: Voting on ANY Saturday or Sunday ordered by the governing body on its own motion (i.e., not petitioned for by 15 registered voters) must be included in the order and notice of election. (Secs. 85.006, 85.007(a)).
NOTE: Section 85.007 requires that the election notice, which includes the days and hours of early voting, be posted on the political subdivision’s website, if the political subdivision maintains a website.
First day a voter who becomes sick or disabled on or after this date may submit an application for a late ballot if the sickness or physical condition prevents the voter from appearing at the polling place without the likelihood of needing personal assistance or of injuring his or her health. (Sec. 102.001). See Application for Emergency Early Voting Ballot Due to Sickness or Physical Disability (PDF). Applications may continue to be submitted until 5:00 PM on Election Day. (Sec. 102.003).
First day a county with a population of 100,000 or more, or entities that are having joint elections or are contracting with such a county, may convene their early voting ballot board and begin processing and qualifying mail ballots but may not begin counting at this time.
NOTE: Mail ballots may not be counted until (i) the polls open on election day; or (ii) for a county with a population of 100,000 or more, or entities that are having joint elections with such a county or who are conducting their election with such a county through a contract for election services, the end of the period for early voting in person. (Secs. 87.0222, 87.0241). The early voting clerk shall continuously post notice for 24 hours preceding each delivery of voting materials that is to be made before the time for opening the polls on election. (Sec. 87.0222). NOTE: Results may not be released until the polls close on election day.
NOTE – NEW LAW: HB 3107 (2021, R.S.) clarified that if a county with a population of 100,000 or more is conducting an election through a contract for election services for a political subdivision, the county’s ballot board timeframes apply to the election. (Secs. 87.0222, 87.0241).
NOTE – The county clerk/elections administrator must ensure that photocopies or scanned images of annual applications for ballot by mail have been delivered to the early voting clerk of every political subdivision holding an election before the ballots by mail are delivered to the early voting ballot board. The county election officer should transmit copies of the applicable ABBMs and FPCAs through a secure method. This may include hand-delivering the copies, arranging for the local entity to pick up the copies, or utilizing an encrypted email or file transfer protocol. See Answer 17 in Tex. Sec’y of State Election Advisory No. 2022-08.
NOTE – NEW LAW: SB 1 (2021, 2nd C.S.) added Section 87.0411 to provide a procedure by which a voter can correct certain defects in their carrier envelope containing their voted ballot. Not later than the second business day after an early voting ballot board discovers the defect and before the board decides whether to accept or reject a timely delivered ballot under Section 87.041, the board shall: (1) determine if it would be possible for the voter to correct the defect and return the carrier envelope before the time the polls are required to close on election day; and (2) return the carrier envelope to the voter by mail, if the board determines that it would be possible for the voter to correct the defect and return the carrier envelope before the time the polls are required to close on election day. If the board determines that it would not be possible for the voter to correct the defect and return the carrier envelope before the time the polls are required to close on election day, the board may notify the voter of the defect by phone or email and inform the voter that the voter may cancel their mail ballot in accordance with Section 84.032 or come to the early voting clerk’s office in person not later than the sixth day after election day to correct the defect. If the ballot board takes one of the actions described above, the board must take that action with respect to each ballot in the election that to which these options apply. (Sec. 87.0411). See Note 16.</t>
        </r>
      </text>
    </comment>
    <comment ref="G13" authorId="0" shapeId="0">
      <text>
        <r>
          <rPr>
            <b/>
            <sz val="9"/>
            <color indexed="81"/>
            <rFont val="Tahoma"/>
            <family val="2"/>
          </rPr>
          <t xml:space="preserve">Friday, October 28, 2022 (11th day before Election Day)
</t>
        </r>
        <r>
          <rPr>
            <sz val="9"/>
            <color indexed="81"/>
            <rFont val="Tahoma"/>
            <family val="2"/>
          </rPr>
          <t>Last day to receive an FPCA (PDF) from a voter. If the voter is not registered in the county (and / or marked intent to return “not certain”), the voter is still eligible for a ballot containing federal offices only. In a local (non-federal) election, this means there is no ballot to send the voter. (Secs. 101.052(b), (f), 114.004(c)).
Last day for early voting clerk to receive applications for a ballot to be voted by mail. (Sec. 84.007(c)). All applications to vote by mail must be received by the early voting clerk before the close of regular business or 12 noon, whichever is later.
Applications to vote by mail must be submitted by mail, common or contract carrier, fax (if a fax machine is available in the office of the early voting clerk), e-mail, or personal delivery (see below). The early voting clerk’s designated email address must be posted on the Secretary of State’s website.
If an ABBM is faxed or emailed or if an FPCA is faxed, then the applicant must submit the ORIGINAL application BY MAIL to the early voting clerk so that the early voting clerk receives the original no later than the 4th business day after receiving the emailed or faxed ABBM or faxed FPCA. If the early voting clerk does not receive the original ABBM or FPCA by that deadline, then the emailed or faxed ABBM or faxed FPCA will be considered incomplete, and the early voting clerk may NOT send the applicant a ballot. The requirement to mail the original application does not apply to an emailed FPCA. For additional information on this law, please see Note 15 above.
NOTE-NEW LAW: HB 3107 (2021, R.S.) amended Section 101.001 of the Code regarding FPCAs. Effective September 1, 2021, a member of the Texas National Guard or the National Guard of another state or a member of a reserve component of the armed forces of the United States serving on active duty under an order of the President of the United States or activated on state orders, or the spouse or dependent of a member, may submit an FPCA. (Sec. 101.001).
An applicant for a ballot to be voted by mail (ABBM or FPCA) may also submit the application by delivering it in person to the early voting clerk if the application is submitted not later than the close of regular business in the clerk’s office on Friday, October 28, 2022. (Sec. 84.008).
NOTE-NEW LAW: HB 3107 (2021, R.S.) amended Section 101.052 of the Code regarding FPCAs. Effective September 1, 2021, an FPCA may be submitted by in-person delivery by the voter in accordance with Section 84.008 of the Code or by common or contract carrier. Further, an application is considered submitted in the following calendar year if: 1) the applicant is eligible to vote in an election occurring in January or February of the next calendar year; and 2) the application is submitted in the last 60 days of a calendar year but not earlier than the 60th day before the date of the January or February election. (Sec. 101.052). 
NOTE-NEW LAW: HB 3107 (2021, R.S.) amended Section 84.008 of the Code to provide that an applicant for a ballot to be voted by mail may submit the application by delivering it in person to the early voting clerk if the application is submitted not later than the deadline provided by Section 84.007(c) of the Code. This means that effective September 1, 2021, voters may now personally deliver their ABBM or FPCA to the early voting clerk not later than the close of regular business in the early voting clerk’s office or 12 noon, whichever is later, on the 11th day before election day (unless that day is a Saturday, Sunday, or legal state or national holiday, in which case the last day is the first preceding regular business day.) 
Last day for county clerk/elections administrator to deliver final list of voters that have submitted an annual application for ballot by mail to political subdivisions located within the county holding an election on November 8, 2022, for which the county clerk/elections administrator is not the early voting clerk via a joint election agreement or contract for election services.</t>
        </r>
      </text>
    </comment>
    <comment ref="H13" authorId="0" shapeId="0">
      <text>
        <r>
          <rPr>
            <b/>
            <sz val="9"/>
            <color indexed="81"/>
            <rFont val="Tahoma"/>
            <family val="2"/>
          </rPr>
          <t>Saturday, October 29, 2022 (10th day before Election Day; last Saturday of early voting period)</t>
        </r>
        <r>
          <rPr>
            <sz val="9"/>
            <color indexed="81"/>
            <rFont val="Tahoma"/>
            <family val="2"/>
          </rPr>
          <t xml:space="preserve">
Counties: In counties with populations of 55,000 or more, early voting must be conducted at the main early voting polling place in the November General Election for state and county officers for at least 12 hours on last Saturday of the early voting period. (Sec. 85.006(e)). For counties under 55,000, voting on Saturday is only required if a proper petition (PDF) was received in a timely manner. See entry under Tuesday, October 25, 2022.
Cities:  If a proper petition (PDF) was received before the election was ordered, early voting must be conducted on last Saturday of the early voting period.
Last day of period during which notice of the November General Election for state and county officers and other elections ordered by a county or a city or school district must be published in a newspaper of general circulation. (Sec. 4.003(a)(1)).
NOTE: The election notice shall be posted on the political subdivision’s website, if the political subdivision maintains a website.
Last day to mail a copy of the notice of election to each registered voter of the territory that is covered by the election and is in the jurisdiction of the authority responsible for giving the notice if method of giving notice is not specified by a law outside the Texas Election Code and this method of giving notice is selected.</t>
        </r>
      </text>
    </comment>
    <comment ref="B15" authorId="0" shapeId="0">
      <text>
        <r>
          <rPr>
            <b/>
            <sz val="9"/>
            <color indexed="81"/>
            <rFont val="Tahoma"/>
            <family val="2"/>
          </rPr>
          <t xml:space="preserve">Sunday, October 30, 2022 (9th day before Election Day; last Sunday of early voting period)
</t>
        </r>
        <r>
          <rPr>
            <sz val="9"/>
            <color indexed="81"/>
            <rFont val="Tahoma"/>
            <family val="2"/>
          </rPr>
          <t xml:space="preserve">Counties with a Population of 55,000 or More: In counties with populations of 55,000 or more, early voting must be conducted at the main early voting polling place in the November General Election for state and county officers for at least 6 hours on last Sunday of the early voting period. (Sec. 85.006(e)).
For counties under 55,000, voting on Sunday at the main early voting polling place and any permanent branch locations  is only required if a proper petition (PDF) was received in a timely manner. See entry under Wednesday, October 26, 2022.
Cities:  If a proper petition (PDF) was received before the election was ordered, early voting must be conducted on last Sunday of the early voting period.  </t>
        </r>
      </text>
    </comment>
    <comment ref="C15" authorId="0" shapeId="0">
      <text>
        <r>
          <rPr>
            <b/>
            <sz val="9"/>
            <color indexed="81"/>
            <rFont val="Tahoma"/>
            <family val="2"/>
          </rPr>
          <t xml:space="preserve">Monday, October 31 – Friday, November 4, 2022 (last week of early voting by personal appearance)
</t>
        </r>
        <r>
          <rPr>
            <sz val="9"/>
            <color indexed="81"/>
            <rFont val="Tahoma"/>
            <family val="2"/>
          </rPr>
          <t xml:space="preserve">
In counties with a population of 55,000 or more, the early voting clerk must keep the main polling place open for 12 hours each weekday for the November General Election for state and county officers during the last week of the early voting period. Early voting must be conducted at permanent branch locations for 12 hours each weekday. Voting may not be conducted any earlier than 6:00 a.m. or later than 10:00 p.m. (Secs. 85.005(c), 85.063).
In counties with a population of 100,000 or local political subdivisions situated in such a county, early voting by personal appearance at each temporary branch polling place must be conducted on the days that voting is required to be conducted at the main early voting polling place  and remain open for at least 8 hours each day; or 3 hours each day if the city or county clerk does not serve as the early voting clerk for the territory holding the election and the territory has fewer than 1,000 registered voters. (Secs. 85.005(c), 85.064).
NOTE: In an election in which the territory served by the early voting clerk is situated in more than one county, early voting at each temporary branch location must be conducted on the days that voting is required to be conducted at the main early voting polling place for at least 8 hours each day, if the sum of the population of the counties is 100,000 or more.
In counties with a population under 100,000 or local political subdivisions situated in such a county, early voting by personal appearance at each temporary branch polling place may be conducted on any days and during any hours of the period for early voting by personal appearance, as determined by the authority establishing the branch except that voting must be conducted on at least two consecutive business days and for at least eight consecutive hours on each of those days. (Secs. 85.005(c), 85.063, 85.065).</t>
        </r>
      </text>
    </comment>
  </commentList>
</comments>
</file>

<file path=xl/comments9.xml><?xml version="1.0" encoding="utf-8"?>
<comments xmlns="http://schemas.openxmlformats.org/spreadsheetml/2006/main">
  <authors>
    <author>Author</author>
  </authors>
  <commentList>
    <comment ref="E5" authorId="0" shapeId="0">
      <text>
        <r>
          <rPr>
            <b/>
            <sz val="9"/>
            <color indexed="81"/>
            <rFont val="Tahoma"/>
            <family val="2"/>
          </rPr>
          <t xml:space="preserve">Wednesday, November 2, 2022 (6th day and 4th business day before Election Day)
</t>
        </r>
        <r>
          <rPr>
            <sz val="9"/>
            <color indexed="81"/>
            <rFont val="Tahoma"/>
            <family val="2"/>
          </rPr>
          <t xml:space="preserve">5:00 p.m. —  Deadline to submit a Request for Election Inspectors (PDF) for election day, Tuesday, November 8, 2022 to the Secretary of State. The request must be a written request by 15 or more registered voters of the county for which the inspector is requested. (Sec. 34.001).
</t>
        </r>
      </text>
    </comment>
    <comment ref="F5" authorId="0" shapeId="0">
      <text>
        <r>
          <rPr>
            <b/>
            <sz val="9"/>
            <color indexed="81"/>
            <rFont val="Tahoma"/>
            <family val="2"/>
          </rPr>
          <t xml:space="preserve">Thursday, November 3, 2022 (5th day before Election Day; day before the last day to vote early in person)
</t>
        </r>
        <r>
          <rPr>
            <sz val="9"/>
            <color indexed="81"/>
            <rFont val="Tahoma"/>
            <family val="2"/>
          </rPr>
          <t>First day a voter is eligible to vote a late ballot if they will be out of their county of residence on election day due to a death in the immediate family (related within 2nd degree of consanguinity or affinity) that occurs on or after this day. The voter may submit the Application for Emergency Early Ballot Due to Death in Family (PDF). (Secs. 103.001, 103.003(b)).  An application may be submitted before the close of business on the day before election day.  (Sec. 103.003).
Deadline for the early voting clerk to receive, by mail, the original of an ABBM that was faxed or emailed or of an FPCA that was faxed on the deadline to apply for a ballot by mail, Friday, October 28, 2022. See Note 15. 
Early voting clerk must post Notice of Delivery of Ballots Voted by Mail (PDF) to the early voting ballot board if materials are to be delivered to the board on Friday, November 4, 2022.  Notice must be posted continuously for 24 hours preceding each delivery to the board. (Secs. 87.0221, 87.0222, 87.023, 87.024, 87.0241).
NOTE:  The Notice of Delivery of Early Voting Balloting Materials serves as notice of the convening of the early voting ballot board.  Your entity should also post notice every time the early voting ballot board reconvenes.</t>
        </r>
      </text>
    </comment>
    <comment ref="G5" authorId="0" shapeId="0">
      <text>
        <r>
          <rPr>
            <b/>
            <sz val="9"/>
            <color indexed="81"/>
            <rFont val="Tahoma"/>
            <family val="2"/>
          </rPr>
          <t xml:space="preserve">Friday, November 4, 2022 (4th day before Election Day)
</t>
        </r>
        <r>
          <rPr>
            <sz val="9"/>
            <color indexed="81"/>
            <rFont val="Tahoma"/>
            <family val="2"/>
          </rPr>
          <t>Last day to vote early by personal appearance. (Sec. 85.001(a)).
Last day to publish notice (PDF) of public test of automatic tabulating equipment, if test will be held on Sunday, November 6, 2022, and if the first test was not previously already completed. The public notice of the test of automatic tabulating equipment must be published at least 48 hours before the test begins. (Sec. 127.096).
After the polls close at the end of early voting, the ballot board and/or central counting station may convene to perform the following activities, depending on the population size of the county:
Counties with a population of 100,000 or more:
First day those counties and political subdivisions conducting a joint election with such a county or conducting an election through a contract for election services with such a county may convene their early voting ballot board and/or central counting station and begin counting ballots; however, the results may not be announced until after the polls close on election day. (Secs. 87.0222, 87.0241).
NOTE: If a county with a population of 100,000 or more is convening their early voting ballot board and/or central counting station early to begin counting ballots, the test of the tabulation equipment will need to be completed at least 48 hours before the equipment is used to count ballots. (Secs. 87.0222, 87.0241, 127.096).
Counties with a population less than 100,000:
First day those counties and political sudbivisions who are not conducting a joint election with a county with a population over 100,000 or conducting an election through a contract for election services with a county with a population over 100,000 may convene their early voting ballot board for processing and qualifying mail ballots, but cannot begin counting the ballots until the polls open on election day. The early voting clerk shall continuously post notice for 24 hours preceding each delivery of voting materials that is to be made before the time for opening the polls on election day. (Secs. 87.0221, 87.023, 87.024, 87.0241). See Notice of Delivery of Early Voting Balloting Materials (PDF).
NOTE – NEW LAW: SB 1 (2021, 2nd C.S.) added Section 87.0411 to provide a procedure by which a voter can correct certain defects in their carrier envelope containing their voted ballot. Not later than the second business day after an early voting ballot board discovers the defect and before the board decides whether to accept or reject a timely delivered ballot under Section 87.041, the board shall: (1) determine if it would be possible for the voter to correct the defect and return the carrier envelope before the time the polls are required to close on election day; and (2) return the carrier envelope to the voter by mail, if the board determines that it would be possible for the voter to correct the defect and return the carrier envelope before the time the polls are required to close on election day. If the board determines that it would not be possible for the voter to correct the defect and return the carrier envelope before the time the polls are required to close on election day, the board may notify the voter of the defect by phone or email and inform the voter that the voter may cancel their mail ballot in accordance with Section 84.032 or come to the early voting clerk’s office in person not later than the sixth day after election day to correct the defect. If the ballot board takes one of the actions described above, the board must take that action with respect to each ballot in the election that to which these options apply. (Sec. 87.0411).  See Note 16.
NOTE – NEW LAW: SB 1 (2021, 2nd C.S.) amended Section 127.1232 to provide that in counties with a population of 100,000 or more, the general custodian of election records shall implement a video surveillance system that retains a record of all areas containing voted ballots: (1) from the time the voted ballots are delivered to the central counting station until the canvass of the precinct election returns; and (2) from the time the voted ballots are delivered to the signature verification committee or early voting ballot board until the canvass of precinct election returns. Video from the surveillance system shall be made available to the public by live stream. The recorded video is considered an election record and shall be retained by the general custodian until the end of the calendar year in which an election is held or until an election contest filed in the county has been resolved, whichever is later. (Sec. 127.1232).</t>
        </r>
      </text>
    </comment>
    <comment ref="B7" authorId="0" shapeId="0">
      <text>
        <r>
          <rPr>
            <b/>
            <sz val="9"/>
            <color indexed="81"/>
            <rFont val="Tahoma"/>
            <family val="2"/>
          </rPr>
          <t xml:space="preserve">Sunday, November 6, 2022 (2 days before Election Day)
</t>
        </r>
        <r>
          <rPr>
            <sz val="9"/>
            <color indexed="81"/>
            <rFont val="Tahoma"/>
            <family val="2"/>
          </rPr>
          <t>Last day to conduct public test of automatic tabulation equipment. Per Section 127.093, the test shall be conducted at least 48 hours before the automatic tabulating equipment is used to count ballots voted in an election and was not previously tested. We highly recommend that this test is done on an earlier date to allow time for corrections to programming, if necessary. (See Note 13 above).</t>
        </r>
      </text>
    </comment>
    <comment ref="C7" authorId="0" shapeId="0">
      <text>
        <r>
          <rPr>
            <b/>
            <sz val="9"/>
            <color indexed="81"/>
            <rFont val="Tahoma"/>
            <family val="2"/>
          </rPr>
          <t xml:space="preserve">Monday, November 7, 2022 (1 day before Election Day)
</t>
        </r>
        <r>
          <rPr>
            <sz val="9"/>
            <color indexed="81"/>
            <rFont val="Tahoma"/>
            <family val="2"/>
          </rPr>
          <t>Last day to submit an Application for Emergency Early Ballot Due to Death in Family (PDF). The application must be submitted by the close of business on this day. (Sec. 103.003(b)).
Last day for early voting clerk to mark the precinct list of registered voters with a notation beside each name of voter who voted early, and deliver list to election judges. The early voting clerk must also deliver the precinct early voting list. (Sec. 87.122).  This may be delivered electronically if your county is using an electronic pollbook.
Delivery of Provisional Ballots and Forms: If the voter registrar wants to take possession of the provisional ballots and forms on election night, the voter registrar must inform the custodian of the election records and post a Notice of Delivery of Provisional Ballots (PDF) no later than Monday, November 7, 2022, 24 hours before election day. (1 T.A.C. § 81.174(d)(3)). However, under this type of delivery, the county voter registrar must go to the office of the custodian of election records and pick up the provisional ballots and forms.
NOTE: The general custodian of election records (or the early voting clerk, if applicable) must also post a Notice of Delivery of Provisional Ballots (PDF) at least 24 hours before delivery will occur. (1 T.A.C. § 81.174(b)(1)).</t>
        </r>
      </text>
    </comment>
    <comment ref="D7" authorId="0" shapeId="0">
      <text>
        <r>
          <rPr>
            <b/>
            <sz val="9"/>
            <color indexed="81"/>
            <rFont val="Tahoma"/>
            <family val="2"/>
          </rPr>
          <t xml:space="preserve">Tuesday, November 8,  2022 (Election Day)
</t>
        </r>
        <r>
          <rPr>
            <sz val="9"/>
            <color indexed="81"/>
            <rFont val="Tahoma"/>
            <family val="2"/>
          </rPr>
          <t>7:00 a.m. – 7:00 p.m.
Polls open. (Sec. 41.031).
Voter registrar’s office is open. (Sec. 12.004(c)).
Early voting clerk’s office is open for early voting activities. (Sec. 83.011). A voter may deliver a marked ballot by mail to the early voting clerk’s office while the polls are open on election day. The voter must comply with applicable identification procedures. The identification procedure is the same as that used for personal appearance voting. (Secs. 63.0101, 86.006).
A voter may vote at the main early voting polling place if electronic voting systems are used at regular polling place(s) on election day and the voter has a sickness or physical condition that prevents the voter from voting in the regular manner without personal assistance or a likelihood of injuring the voter’s health. (Secs.104.001, 104.003). However, if the early voting ballots by mail are processed at a location other than the main early voting polling place, the early voting clerk may require the voting to be conducted at that location. (Sec. 104.003).
5:00 p.m.
Deadline for receiving Application for Emergency Early Voting Ballot Due to Sickness or Physical Disability (PDF) for late ballots to be voted by persons who became sick or disabled on or after Thursday, October 27, 2022. (Sec. 102.003(b)).
7:00 p.m.
Regular deadline for receiving early voting ballots by mail. BUT see entry for Wednesday, November 9, 2022 on “late domestic ballots” and entries for Monday, November 14, 2022 on other “late” ballots.
Deadline for receiving late ballots cast by voters who became sick or disabled on or after Thursday, October 27, 2022. (Secs. 86.007(a), 102.006(c)).
Deadline to receive carrier envelopes that have been returned to the voter by mail for corrective action. (Secs. 86.011(d), 87.0271, 87.0411).
NOTE – NEW LAW: SB 1 (2021, 2nd C.S.) amended Section 61.002 to provide that immediately before the opening of the polls on election day, the presiding judge or alternate judge shall confirm that the public counters on each voting machine are set to zero and shall print the tape that shows that there are zero votes for each candidate or measure on the ballot. Immediately after the closing of the polls on election day, the presiding judge or alternate judge shall print the tape to show the number of votes cast for each candidate or measure. Each election judge and alternate judge shall sign the printed tapes. (Sec. 61.002).</t>
        </r>
        <r>
          <rPr>
            <b/>
            <sz val="9"/>
            <color indexed="81"/>
            <rFont val="Tahoma"/>
            <family val="2"/>
          </rPr>
          <t xml:space="preserve">
</t>
        </r>
        <r>
          <rPr>
            <sz val="9"/>
            <color indexed="81"/>
            <rFont val="Tahoma"/>
            <family val="2"/>
          </rPr>
          <t xml:space="preserve">
NOTE – NEW LAW: SB 1 (2021, 2nd C.S.) requires the presiding judge of the central counting station to provide and attest to a written reconciliation of votes and voters at the close of tabulation for election day and again after the central counting station meets for the last time to process late-arriving ballots by mail and provisional ballots. (Sec. 127.131). Preliminary Election Reconciliation (PDF) – Unofficial Totals form (Election Day). Election Reconciliation Form (PDF) – Official Results (Canvass Form).
NOTE - Receipt of Mail Ballots: All early voting ballots sent by mail from inside the United States that are received by 7:00 p.m. on election day, November 8, 2022, must be counted on election night.  If the carrier envelope does not bear a cancellation mark or a receipt mark, the ballot must arrive before the time the polls are required to close on election day. (Sec. 86.007(a)(1)). If the early voting clerk cannot determine whether a ballot arrived before that deadline, the ballot is considered to have arrived at the time the place at which the carrier envelopes are deposited was last inspected for removal of returned ballots. (Sec. 86.007(b)). The early voting clerk must check the mailbox for early voting mail ballots at least once after the time for regular mail delivery. (Sec. 86.007(b)).
NOTE: An early voting mail ballot that is not received by 7:00 pm on election day may not be counted unless the ballot may be counted late, which applies to late domestic ballots (Sec. 86.007(a)(2)), ballots mailed from outside the United States (Sec. 86.007(d)), and ballots from members of the armed forces and merchant marine of the United States, Texas National Guard or the National Guard of another state or members of the Reserves, as well as their spouses and dependents (Sec. 101.057). See entry for Wednesday, November 9, 2022 on “late domestic ballots,” and entries for Monday, November 14, 2022 on “late” ballots. See Tex. Sec’y of State Election Advisory No. 2018-02.
NOTE - Delivery of Early Voting by Personal Appearance and Mail Ballots: The early voting clerk delivers the voted ballots, the key to the double-locked ballot box, etc., to the early voting ballot board at the time or times specified by the presiding judge of the early voting ballot board, during the hours the polls are open or as soon after the polls close as practicable. (Secs. 87.021, 87.022). The custodian of the key to the second lock of the double-locked early voting ballot box delivers his or her key to the presiding judge of the early voting ballot board on request of the presiding judge. (Secs. 85.032(d), 87.025). The custodian is the sheriff for county elections, elections ordered by the governor, and a primary election (or the county judge in a year when the office of sheriff is on the ballot).  The custodian is the chief of police or city marshal for city elections, and the constable of the justice precinct in which the political subdivision’s main office is located (or the sheriff, if there is no constable), for other political subdivision elections. (Sec. 66.060).  If ballots are to be delivered before election day, the early voting clerk must post Notice of Delivery of Early Voting Balloting Materials (PDF) at least 24 hours before each delivery at the main early voting polling place.
NOTE - Delivery of Early Voting Ballot to Early Voting Ballot Board Before Election Day: Early voting ballots may be delivered to the early voting ballot board at any time after early voting by personal appearance ends.  Mail ballots may be qualified and processed (signatures verified, carrier envelopes opened, and the secrecy envelope containing the ballot placed in a secure location), but they may not be counted until election day. (Secs. 87.0221, 87.0222, 87.023, 87.024, 87.0241). If ballots are to be delivered before election day, the early voting clerk must post notice at least 24 hours before each delivery at the main early voting polling place.
Exception: Counties with a population of 100,000, or more or entities that are having joint elections with counties with a population of 100,000 or more, may process the mail ballots (i.e., qualify, and accept or reject, but not count) as early as the 8th day before the end of the early voting period; in such an election, votes may be counted no earlier than the end of the period for early voting by personal appearance; the results may not be released until the polls close on election day. (Secs. 87.0221, 87.0222, 87.023, 87.024, 87.0241(b), 87.042). If ballots are to be delivered before election day (i.e., after the end of the early-voting-in-person period but before the polls open on election day), the early voting clerk must post notice at least 24 hours before each delivery at the main early voting polling place. (Secs. 87.0221(b), 87.023(b), 87.024(b)).
NOTE – NEW LAW: SB 1 (2021, 2nd C.S.) amended Section 127.1232 to provide that in counties with a population of 100,000 or more (or political subdivisions contracting with a county with a population of 100,000 or more), the general custodian of election records shall implement a video surveillance system that retains a record of all areas containing voted ballots: (1) from the time the voted ballots are delivered to the central counting station until the canvass of the precinct election returns; and (2) from the time the voted ballots are delivered to the signature verification committee or early voting ballot board until the canvass of precinct election returns. Video from the surveillance system shall be made available to the public by live stream. The recorded video is considered an election record and shall be retained by the general custodian until the end of the calendar year in which an election is held or until an election contest filed in the county has been resolved, whichever is later. (Sec. 127.1232).</t>
        </r>
        <r>
          <rPr>
            <b/>
            <sz val="9"/>
            <color indexed="81"/>
            <rFont val="Tahoma"/>
            <family val="2"/>
          </rPr>
          <t xml:space="preserve">
</t>
        </r>
        <r>
          <rPr>
            <sz val="9"/>
            <color indexed="81"/>
            <rFont val="Tahoma"/>
            <family val="2"/>
          </rPr>
          <t xml:space="preserve">
NOTE - Manual Examination of Ballots Before Processing on Automatic Counting Equipment: The central counting station manager shall direct the manual examination of all electronic voting system ballots to ascertain whether the ballots can be processed in the usual manner or if the ballots need to be duplicated to clearly reflect the voter’s intent. (Sec. 127.125).
NOTE - Testing of Tabulating Equipment: The second test of automatic tabulating equipment used for counting ballots at a central counting station must be conducted immediately before the counting of ballots with equipment begins. The third test must be conducted immediately after the counting is completed. (Secs. 127.093, 127.097, 127.098).
NOTE - Precinct Election Returns: Precinct election returns are delivered to the appropriate authorities after completion. (Secs. 66.053(a), 127.065, 127.066, 127.067).
Transfer of Provisional Ballots to Voter Registrar Election Night: The county voter registrar may take possession of the ballot box(es) or transfer case(s) containing the provisional ballots (or provisional ballot affidavits when DRE systems are used) on election night (instead of on the next business day) by informing the custodian of election records and posting a notice of such election night transfer no later than 24 hours before election day. Under this type of delivery, the voter registrar must go to the office of the custodian and pick up the ballot box(es) or transfer case(s) and associated forms. (Sec. 65.052; 1 T.A.C.§§ 81.172 – 81.174 &amp; 81.176). See Verification of Provisional Ballots and Serial Numbers (PDF).
After the polling place is officially closed and the last person has voted, the presiding judge may from time to time make an unofficial announcement of the total number of votes counted for each candidate and/or for or against each proposition in the order that they appear on the ballot. (Sec. 65.015(a)). The announcement shall be made at the entrance to the polling place. (Sec. 65.015(c)).
NOTE: The authority conducting the election may require or prohibit such announcements. (Sec. 65.015(b)). Unofficial election results must be released by the central counting station as soon as they are available after the polls close, but the presiding judge of the central counting station, in cooperation with the county election officer, may choose to withhold the release of vote totals until the last voter has voted. (Sec. 127.1311).
Last day to post notice of governing authority’s meeting to canvass returns of election if canvass is to take place on Friday, November 11, 2022 (3rd day after election). (Sec. 67.003(b)).  This notice must be posted at least 72 hours before the scheduled time of the meeting. (Secs. 551.002, 551.041, 551.043, Texas Government Code).
Counties, Cities, and School Districts: NEW LAW: SB 1116 (2021, R.S.) amended Chapter 65 of the Election Code by adding Section 65.016 of the Code regarding election results information which must be posted on county, city, and school district websites. A county that holds an election or provides election services for an election for a public entity must post certain information regarding election results on their website after the election. A city or independent school district that holds an election and maintains an Internet website must also post certain information on their website related to election results, even if the county is also posting. All entities must post the required information as soon as practicable after the election. The required information includes:
the results of each election;
the total number of votes cast;
the total number of votes cast for each candidate or for or against each measure;
the total number of votes cast by personal appearance on election day;
the total number of votes cast by personal appearance or mail during the early voting period; and
the total number of counted and uncounted provisional ballots cast. (Sec. 65.016).
We recommend that election results information remain posted on the entity’s main page (or within two clicks of the main page) at least until the next election, and that the information continues to be available for the full 22 month retention period for election records. Entities may choose to make older election results information available on their website. See Note 3.
NOTE: The general custodian of election records for the general election for state and county officers must maintain a list that states the total number of votes cast in each precinct by personal appearance on election day. This list must be available for public inspection not later than the day after election day. This information must be submitted to the Secretary of State and posted in a downloadable format on the Secretary of State’s internet website. (Sec. 66.0021).</t>
        </r>
      </text>
    </comment>
    <comment ref="E7" authorId="0" shapeId="0">
      <text>
        <r>
          <rPr>
            <b/>
            <sz val="9"/>
            <color indexed="81"/>
            <rFont val="Tahoma"/>
            <family val="2"/>
          </rPr>
          <t xml:space="preserve">Wednesday, November 9, 2022 (1st day and 1st business day after Election Day)
</t>
        </r>
        <r>
          <rPr>
            <sz val="9"/>
            <color indexed="81"/>
            <rFont val="Tahoma"/>
            <family val="2"/>
          </rPr>
          <t>5:00 p.m. – Deadline to receive “late domestic ballots” mailed within the United States from non-military voters and from any military voters who submitted an Application for Ballot by Mail (“ABBM”) (not a Federal Postcard Application – “FPCA”), if the carrier envelope was placed for delivery by mail or common or contract carrier AND bears a cancellation mark of a postal service or a receipt mark of a common or contract carrier or a courier indicating a time not later than 7:00 p.m. at the location of the election on election day, November 8, 2022. (Secs. 86.007, 101.057, 101.001). A late domestic ballot cannot be counted if it does not bear a cancellation mark or a receipt mark.
NOTE: Because of the deadline to receive “late domestic ballots,” it is imperative that you check your mail at 5:00 PM.   
NOTE – Section 86.007 provides that a marked ballot voted by mail that a voter received due to submitting an ABBM may arrive at the address on the carrier envelope not later than 5:00 p.m. on the day after election day, if the carrier envelope was placed for delivery by mail or common or contract carrier from within the United States and bears a cancellation mark of a postal service or a receipt mark of a common or contract carrier or a courier from not later than 7:00 p.m. at the location of the election on election day.
NOTE:  This deadline does not apply to ballots sent by non-military voters who are overseas but applied for a ballot using an ABBM; these voters have until the 5th day after election day to return their ballots (or the next business day if the 5th day falls on a weekend or legal state or federal holiday). This deadline also does not apply to ballots mailed (domestically or from overseas) by certain members of the military who applied for a ballot using an FPCA; those voters have until the 6th day after election day to return their ballots. See entries for Monday, November 14, 2022. 
Unless the county voter registrar has already taken possession of the provisional ballots prior to this date, the general custodian of election records must deliver the ballot box(es) or transfer case(s) containing the provisional ballots (or provisional ballot affidavits when DRE systems are used), along with the Summary of Provisional Ballots and the List of Provisional Voters for each precinct to the voter registrar by this day. The general custodian of election records makes this delivery to the voter registrar during the voter registrar office’s regular business hours. (Secs. 65.052, 65.053; 1 T.A.C. §§ 81.172 – 81.174, 81.176).
Note for Political Subdivisions Located in More than One County: A political subdivision will have to make delivery of the provisional ballots and forms to the county voter registrar in each county in which the political subdivision is located. (1 T.A.C. §§ 81.172 – 81.174).
NOTE: If the county voter registrar wants to take possession of the provisional ballots and forms on election night (Tuesday, November 8, 2022), the county voter registrar must inform the custodian of the election records and post a notice of the transfer no later than 24 hours before election day. However, under this type of delivery, the county voter registrar must go to the office of the custodian of election records and pick up the provisional ballots and forms. Also, note that the county voter registrar may take possession of provisional ballots prior to election night if ballots are kept separate and may be provided without unlawful entry into ballot box. (1 T.A.C. §§ 81.172 – 81.174).</t>
        </r>
      </text>
    </comment>
    <comment ref="G7" authorId="0" shapeId="0">
      <text>
        <r>
          <rPr>
            <b/>
            <sz val="9"/>
            <color indexed="81"/>
            <rFont val="Tahoma"/>
            <family val="2"/>
          </rPr>
          <t xml:space="preserve">Friday, November 11, 2022 (3rd day after Election Day) (Veterans Day)
</t>
        </r>
        <r>
          <rPr>
            <sz val="9"/>
            <color indexed="81"/>
            <rFont val="Tahoma"/>
            <family val="2"/>
          </rPr>
          <t>The first possible day to conduct official local canvass of returns by governing authority of the political subdivision.  However, the canvass may not be conducted until the ballot board has verified and counted all provisional ballots, if a provisional ballot has been cast in the election, AND the ballot board has finished convening for all late arriving ballots. (Sec. 67.003). See entries for November 9, 2022 and entries for November 14, 2022.  Notice of canvass must be posted at least 72 hours continuously before the canvass is conducted.
NOTE:  If a recount petition has been filed and a winning candidate’s race is involved in the recount, the certificate of election cannot be issued for that race until the recount has been completed. (Secs. 67.016, 212.0331).
Cities, Schools, and Other Political Subdivisions: First day that newly-elected local officers may qualify and assume the duties of their offices. Please note that the canvass must have been completed before an officer can assume office. (Sec. 67.016).  If a political subdivision was able to cancel its election, this is the first day its elected officials can be issued a certificate of election and take the oath of office. (Secs. 2.053(e), 67.003, 67.016). For information on who can administer an oath, please see Chapter 602 of the Government Code.
NOTE: This does not apply to officers of a Type A general law city, who cannot qualify until the 6th day after election day. See entry at Monday, November 14, 2022.</t>
        </r>
      </text>
    </comment>
    <comment ref="C9" authorId="0" shapeId="0">
      <text>
        <r>
          <rPr>
            <b/>
            <sz val="9"/>
            <color indexed="81"/>
            <rFont val="Tahoma"/>
            <family val="2"/>
          </rPr>
          <t xml:space="preserve">Monday, November 14, 2022 (6th day after Election Day)
</t>
        </r>
        <r>
          <rPr>
            <sz val="9"/>
            <color indexed="81"/>
            <rFont val="Tahoma"/>
            <family val="2"/>
          </rPr>
          <t>First day that newly-elected officers of Type A general law city may qualify and assume duties of office (per Sec. 22.006, Local Government Code), but see NOTE, below.
NOTE: Council members may take office anytime following the canvass. Section 22.006 of the Texas Local Government Code states that a newly-elected municipal officer of a Type A city may exercise the duties of office beginning the fifth day after the date of the election, excluding Sundays. However, no newly elected official may qualify for office before the official canvass of the election has been conducted (or would have been conducted, in the event of a cancelled election). Section 22.036 of the Texas Local Government Code further requires that the newly-elected governing body of the municipality “meet at the usual meeting place and shall be installed.”
NOTE:  If a recount petition has been filed and a winning candidate’s race is involved in the recount, the certificate of election cannot be issued for that race until the recount has been completed. (Secs. 67.016, 212.0331). For more information, please see our recount outline.
NOTE: If a Type-A municipal officer-elect fails to qualify for office within 30 days after the date of the officer’s election, the office is considered vacant. (Sec. 22.007, Local Government Code). See Thursday, December 8, 2022 entry.
Deadline for ID related provisional voter to (1) present acceptable photo identification to county voter registrar; or (2) if the voter does not possess and cannot reasonably obtain acceptable photo identification, follow the Reasonable Impediment Declaration procedure at the county voter registrar’s office; or (3) execute an affidavit relative to “natural disaster” or “religious objection” in presence of county voter registrar, if applicable; or (4) qualify for the disability exemption, if applicable, with the county voter registrar. (Secs. 65.054, 65.0541).
Last day to receive ballots from non-military and any military voters casting ballots from outside of the United States, who submitted an ABBM, (not an FPCA) AND who placed their ballots in delivery by 7:00 p.m. on election day, Tuesday, November 8, 2022, as evidenced by a postal service cancellation mark or a receipt mark of a common or contract carrier or a courier (Secs. 86.007, 101.057, 101.001).  A late overseas ballot sent by a voter who applied for a ballot using an ABBM (not an FPCA) cannot be counted if it does not bear a cancellation mark or a receipt mark.* 
NOTE:  Section 86.007 provides that a marked ballot voted by mail from outside of the United States by a voter who received the ballot due to submitting an ABBM is considered timely if it is received at the address on the carrier envelope not later than the fifth day after the date of the election. Further, the delivery is considered timely if the carrier envelope or, if applicable, the envelope containing the carrier envelope is properly addressed with postage or handling charges prepaid and bears a cancellation mark of a recognized postal service or a receipt mark of a common or contract carrier or a courier indicating a time by 7:00 p.m. on election day.
Last day to receive ballots from non-military voters casting ballots from overseas, who submitted a FPCA, AND who placed their ballots in delivery by 7:00 p.m. on election day, Tuesday, November 8, 2022. (Sec. 86.007(d), (e)).* 
*The deadlines referenced above are extended to the next regular business day which is Monday, November 14, 2022 due to the 5th day falling on a Sunday. (Secs. 1.006, 86.007(d-1)).
Last day to receive carrier envelopes mailed domestically (within the United States) OR overseas from voters who submitted a FPCA AND who are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(Secs. 101.057, 101.001).
NOTE:  Section 101.057 provides that carrier envelopes mailed domestically or overseas from certain military voters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who submitted a Federal Post Card Application (FPCA) may arrive on or before the 6th day after election day.  (Secs. 86.007, 101.057, 101.001).
NOTE: The carrier envelope or, if applicable, the envelope containing the carrier envelope sent by the military members listed above who applied to vote by mail using the FPCA does NOT need to         bear a cancellation or receipt mark in order to be counted.
NOTE – NEW LAW: SB 1 (2021, 2nd C.S.): Last day a voter may come to the early voting clerk’s office in person to correct certain defects on their carrier envelope. (Secs. 87.0271, 87.0411). See Note 16.
Last day to begin the partial manual count for districts using electronic voting systems. This is the last day to begin manual recount of ballots in three precincts or one percent of precincts, whichever is greater. (Sec. 127.201(a), (g)). The count must be completed not later than the 21st day after election day. Results of manual count must be delivered to Secretary of State not later than the 3rd day after the manual count is completed. (Sec. 127.201(e)). No partial manual count needs to be done of ballots cast on DRE voting machines. This deadline is extended to the next regular business day which is Monday, November 14, 2022 due to the initial deadline falling on Veterans Day, November 11, 2022.(Secs. 1.006, 127.201(g)).
NOTE: For information on how to begin the partial manual count, please see Tex. Sec’y of State Election Advisory No. 2018-30.</t>
        </r>
      </text>
    </comment>
    <comment ref="G9" authorId="0" shapeId="0">
      <text>
        <r>
          <rPr>
            <b/>
            <sz val="9"/>
            <color indexed="81"/>
            <rFont val="Tahoma"/>
            <family val="2"/>
          </rPr>
          <t xml:space="preserve">Friday, November 18, 2022 (10th day after Election Day)
</t>
        </r>
        <r>
          <rPr>
            <sz val="9"/>
            <color indexed="81"/>
            <rFont val="Tahoma"/>
            <family val="2"/>
          </rPr>
          <t xml:space="preserve">
Deadline for voter registrar to complete the review of provisional ballots. (1 T.A.C. §§ 81.172 – 81.175).
NOTE-NEW LAW: HB 3107 (2021, R.S.) amended Section 65.052 of the Code to provide that, for the general election for state and county officers, the voter registrar will now have 10 days to review a provisional voter’s eligibility. 
The presiding judge of the EVBB shall mail a Notice of Rejected Ballot (PDF) to voters whose mail ballots were rejected no later than the 10th day after election day or as soon as practicable, depending on when the EVBB last convenes. (Sec. 87.0431).</t>
        </r>
      </text>
    </comment>
    <comment ref="H9" authorId="0" shapeId="0">
      <text>
        <r>
          <rPr>
            <b/>
            <sz val="9"/>
            <color indexed="81"/>
            <rFont val="Tahoma"/>
            <family val="2"/>
          </rPr>
          <t xml:space="preserve">Saturday, November 19, 2022 (11th day after Election Day)
</t>
        </r>
        <r>
          <rPr>
            <sz val="9"/>
            <color indexed="81"/>
            <rFont val="Tahoma"/>
            <family val="2"/>
          </rPr>
          <t>Last day to post notice of governing authority’s meeting to canvass returns of election if canvass is to take place on Tuesday, November 22, 2022 (14th day after election). This notice must be posted at least 72 hours before the scheduled time of the meeting. (Secs. 551.002, 551.041, 551.043, Texas Government Code).
Deadline for custodian of election records or presiding judge of the early voting ballot board to retrieve provisional ballots from county voter registrar. (1 T.A.C. §§ 81.172 – 81.176).</t>
        </r>
      </text>
    </comment>
    <comment ref="C11" authorId="0" shapeId="0">
      <text>
        <r>
          <rPr>
            <b/>
            <sz val="9"/>
            <color indexed="81"/>
            <rFont val="Tahoma"/>
            <family val="2"/>
          </rPr>
          <t xml:space="preserve">Monday, November 21, 2022 (13th day after Election Day)
</t>
        </r>
        <r>
          <rPr>
            <sz val="9"/>
            <color indexed="81"/>
            <rFont val="Tahoma"/>
            <family val="2"/>
          </rPr>
          <t>Last day for early voting ballot board to convene to qualify and count:
any late domestic ballots (from non-military and any military voters who submitted an ABBM) that bear a cancellation mark or receipt mark indicating they were placed for delivery by mail or common or contract carrier not later than 7:00 p.m. on election day, November 8, 2022, and were received not later than 5:00 p.m. on the first business day after election day, on Wednesday, November 9, 2022.  (Secs. 86.007(a), 87.125(a)).  
any late ballots that were submitted from outside the United States by voters who applied for the ballot using an ABBM or by non-military voters who applied for the ballot using an FPCA, and which were received by the 5th day after election day, Monday, November 14, 2022. (Secs. 1.006, 87.125(a), 86.007(d)).*
any ballots received by the 6th day after election day, Monday, November 14, 2022, from voters who are members of the armed forces of the United States, or the spouse or a dependent of a member of the armed forces, members of the merchant marines of the United States, or the spouse or a dependent of a member of the merchant marine, members of the Texas National Guard, or the spouse or a dependent of a member of the Texas National Guard, a member of the National Guard of another state, or the spouse or a dependent of a member of the National Guard of another state, or members of the Reserves, or the spouse or a dependent of a member of the Reserves, and  who applied for a ballot using an FPCA. (Secs. 101.057, 87.125(a)).
any provisional ballots that have been reviewed by the voter registrar. (Sec. 65.051(a)).
NOTE:  *The deadlines referenced above are extended to the next regular business day which is Monday, November 14, 2022 due to the 5th day falling on a Sunday. (Secs. 1.006, 86.007(d-1)).
NOTE:  Ballots that do not qualify under 1-3 above should be treated as ballots not timely returned and should not be delivered to the ballot board.
NOTE: If the early voting ballot board needs to meet after this date, it will require a court order to do so.
The time the board reconvenes is set by the presiding judge of the early voting ballot board. (Secs. 86.007(d),  87.125).
NOTE-NEW LAW: HB 3107 (2021, R.S.) amended Chapter 65 of the Election Code by adding Section 65.0581 to provide that provisional voting records do not become public information until after the provisional ballots and other voting records have been delivered back to the custodian of election records. (Sec. 65.0581).
NOTE – NEW LAW: SB 1 (2021, 2nd C.S.) requires the presiding judge of the central counting station to provide and attest to a written reconciliation of votes and voters at the close of tabulation for election day and again after the central counting station meets for the last time to process late-arriving ballots by mail and provisional ballots. (Sec. 127.131).  Preliminary Election Reconciliation (PDF) – Unofficial Totals form (Election Day). Election Reconciliation Form (PDF) – Official Results (Canvass Form)
NOTE: We recommend that election results information (including reconciliation forms) remain posted on the entity’s main page (or within two clicks of the main page) at least until the next election, and that the information continues to be available for the full 22 month retention period for election records. Entities may choose to make older election results information available on their website. See Note 3.</t>
        </r>
      </text>
    </comment>
    <comment ref="D11" authorId="0" shapeId="0">
      <text>
        <r>
          <rPr>
            <b/>
            <sz val="9"/>
            <color indexed="81"/>
            <rFont val="Tahoma"/>
            <family val="2"/>
          </rPr>
          <t xml:space="preserve">Tuesday, November 22, 2022 (14th day after Election Day)
</t>
        </r>
        <r>
          <rPr>
            <sz val="9"/>
            <color indexed="81"/>
            <rFont val="Tahoma"/>
            <family val="2"/>
          </rPr>
          <t>Last day for official canvass of returns by governing authority of political subdivision. (Sec. 67.003).
NOTE:  If a recount petition has been filed and a winning candidate’s race is involved in the recount, the certificate of election cannot be issued for that race until the recount has been completed. (Secs. 67.016, 212.0331). For more information, please see our recount outline.</t>
        </r>
      </text>
    </comment>
    <comment ref="E11" authorId="0" shapeId="0">
      <text>
        <r>
          <rPr>
            <b/>
            <sz val="9"/>
            <color indexed="81"/>
            <rFont val="Tahoma"/>
            <family val="2"/>
          </rPr>
          <t xml:space="preserve">Wednesday, November 23, 2022 (15th day after Election Day)
</t>
        </r>
        <r>
          <rPr>
            <sz val="9"/>
            <color indexed="81"/>
            <rFont val="Tahoma"/>
            <family val="2"/>
          </rPr>
          <t>Election records from the November 8, 2022 election must be available in an electronic format no later than this day, for a fee of not more than $50.00. (Sec. 1.012(e)).
NOTE: Voted ballots may not be inspected at this time.Voted ballots must be preserved securely in a locked ballot box inside a locked room for at least 60 days. (Sec. 66.058) (Tex. Att’y Gen. ORD-505 (1988)). After 60 days, the ballots may be transferred to another secure container for the remainder of the 22 month preservation period. See entry at January 8, 2023.</t>
        </r>
      </text>
    </comment>
    <comment ref="H11" authorId="0" shapeId="0">
      <text>
        <r>
          <rPr>
            <b/>
            <sz val="9"/>
            <color indexed="81"/>
            <rFont val="Tahoma"/>
            <family val="2"/>
          </rPr>
          <t xml:space="preserve">Saturday, November 26, 2022 (18th day after Election Day)
</t>
        </r>
        <r>
          <rPr>
            <sz val="9"/>
            <color indexed="81"/>
            <rFont val="Tahoma"/>
            <family val="2"/>
          </rPr>
          <t>First day that Governor may conduct the state canvass of the November General Election for state and county officers. (Sec. 67.012).</t>
        </r>
      </text>
    </comment>
    <comment ref="D12" authorId="0" shapeId="0">
      <text>
        <r>
          <rPr>
            <b/>
            <sz val="9"/>
            <color indexed="81"/>
            <rFont val="Tahoma"/>
            <family val="2"/>
          </rPr>
          <t xml:space="preserve">Tuesday, November 29, 2022 (21st day after Election Day)
</t>
        </r>
        <r>
          <rPr>
            <sz val="9"/>
            <color indexed="81"/>
            <rFont val="Tahoma"/>
            <family val="2"/>
          </rPr>
          <t>Last day to complete the partial manual count.  (Sec. 127.201(a)).</t>
        </r>
      </text>
    </comment>
  </commentList>
</comments>
</file>

<file path=xl/comments10.xml><?xml version="1.0" encoding="utf-8"?>
<comments xmlns="http://schemas.openxmlformats.org/spreadsheetml/2006/main">
  <authors>
    <author>Author</author>
  </authors>
  <commentList>
    <comment ref="G5" authorId="0" shapeId="0">
      <text>
        <r>
          <rPr>
            <b/>
            <sz val="9"/>
            <color indexed="81"/>
            <rFont val="Tahoma"/>
            <family val="2"/>
          </rPr>
          <t xml:space="preserve">Friday, December 2, 2022 (24th day after Election Day; 10th day after last canvass)
</t>
        </r>
        <r>
          <rPr>
            <sz val="9"/>
            <color indexed="81"/>
            <rFont val="Tahoma"/>
            <family val="2"/>
          </rPr>
          <t xml:space="preserve">Last day for the presiding judge of the early voting ballot board to mail Notice of Outcome to Provisional Voter (PDF) to provisional voters, if the canvass was held on Tuesday, November 22, 2022. Such notices must be delivered to provisional voters by the presiding judge no later than the 10th day after the local canvass. (Sec. 65.059; 1 Tex. Admin. Code § 81.176(e)). </t>
        </r>
      </text>
    </comment>
    <comment ref="F7" authorId="0" shapeId="0">
      <text>
        <r>
          <rPr>
            <b/>
            <sz val="9"/>
            <color indexed="81"/>
            <rFont val="Tahoma"/>
            <family val="2"/>
          </rPr>
          <t xml:space="preserve">Thursday, December 8, 2022 (30th day after Election Day)
</t>
        </r>
        <r>
          <rPr>
            <sz val="9"/>
            <color indexed="81"/>
            <rFont val="Tahoma"/>
            <family val="2"/>
          </rPr>
          <t>Last day to file electronic precinct-by-precinct returns with the Secretary of State. (Sec. 67.017).
If a Type A municipal officer-elect fails to qualify for office within 30 days after the date of the officer’s election, the office is considered vacant. (Sec. 22.007, Local Government Code).
Last day for the general custodian of election records to electronically submit to the Secretary of State the record of each voter participating in the election. (Sec. 18.069).
NOTE-NEW LAW: HB 3107 (2021, R.S.) amended Section 18.069 of the Code by changing who is responsible for submitting voter history to the Secretary of State from the voter registrar to the general custodian of election records (early voting clerk). (Sec. 18.069).
Last day for the early voting clerk to deliver notice to the Attorney General of any ballot rejected because:
the voter was deceased;
the voter already voted in person in the same election;
the signatures on the carrier envelope and ballot application were not executed by the same person;
the carrier envelope lacked a witness signature;
the carrier envelope certificate was improperly executed by an assistant; or
the early voting ballot board or the signature verification committee determined that another violation of the Election Code occurred.
Notice to the attorney general must include certified copies of the carrier envelope and corresponding ballot application. (Sec. 87.0431). The Office of the Attorney General can be reached via email.</t>
        </r>
      </text>
    </comment>
    <comment ref="C9" authorId="0" shapeId="0">
      <text>
        <r>
          <rPr>
            <b/>
            <sz val="9"/>
            <color indexed="81"/>
            <rFont val="Tahoma"/>
            <family val="2"/>
          </rPr>
          <t xml:space="preserve">Monday, December 12, 2022 (34th day after Election Day)
</t>
        </r>
        <r>
          <rPr>
            <sz val="9"/>
            <color indexed="81"/>
            <rFont val="Tahoma"/>
            <family val="2"/>
          </rPr>
          <t>Last day for the Governor to conduct the state canvass for the November General Election for state and county. 
Since the actual deadline (the 33rd day) falls on a Sunday, the deadline is moved to the next business day. (Secs. 1.006, 67.012).</t>
        </r>
      </text>
    </comment>
    <comment ref="B11" authorId="0" shapeId="0">
      <text>
        <r>
          <rPr>
            <b/>
            <sz val="9"/>
            <color indexed="81"/>
            <rFont val="Tahoma"/>
            <family val="2"/>
          </rPr>
          <t xml:space="preserve">Sunday, December 18, 2022 (40th day after Election Day)
</t>
        </r>
        <r>
          <rPr>
            <sz val="9"/>
            <color indexed="81"/>
            <rFont val="Tahoma"/>
            <family val="2"/>
          </rPr>
          <t>Last day of the period for mandatory office hours. See entry for Monday, September 19, 2022. (Sec. 31.122).</t>
        </r>
      </text>
    </comment>
  </commentList>
</comments>
</file>

<file path=xl/sharedStrings.xml><?xml version="1.0" encoding="utf-8"?>
<sst xmlns="http://schemas.openxmlformats.org/spreadsheetml/2006/main" count="188" uniqueCount="86">
  <si>
    <t>Sunday</t>
  </si>
  <si>
    <t>Notes</t>
  </si>
  <si>
    <t xml:space="preserve"> </t>
  </si>
  <si>
    <t>Calendar Settings</t>
  </si>
  <si>
    <t>Year</t>
  </si>
  <si>
    <t>Week Start</t>
  </si>
  <si>
    <r>
      <rPr>
        <b/>
        <sz val="9"/>
        <color theme="1" tint="0.14999847407452621"/>
        <rFont val="Century Gothic"/>
        <family val="2"/>
        <scheme val="minor"/>
      </rPr>
      <t>Local Political Subdivisions Only:</t>
    </r>
    <r>
      <rPr>
        <sz val="9"/>
        <color theme="1" tint="0.14999847407452621"/>
        <rFont val="Century Gothic"/>
        <family val="2"/>
        <scheme val="minor"/>
      </rPr>
      <t xml:space="preserve">                               </t>
    </r>
    <r>
      <rPr>
        <b/>
        <sz val="9"/>
        <color rgb="FFFF0000"/>
        <rFont val="Century Gothic"/>
        <family val="2"/>
        <scheme val="minor"/>
      </rPr>
      <t>DEADLINE</t>
    </r>
  </si>
  <si>
    <t>First Day to Apply</t>
  </si>
  <si>
    <r>
      <t xml:space="preserve">Secretary of State Election Important Dates </t>
    </r>
    <r>
      <rPr>
        <sz val="28"/>
        <color theme="3" tint="-0.499984740745262"/>
        <rFont val="Century Gothic"/>
        <family val="2"/>
        <scheme val="major"/>
      </rPr>
      <t>Calendar</t>
    </r>
  </si>
  <si>
    <t>January</t>
  </si>
  <si>
    <t>February</t>
  </si>
  <si>
    <t>March</t>
  </si>
  <si>
    <t>April</t>
  </si>
  <si>
    <t>Su</t>
  </si>
  <si>
    <t>Mo</t>
  </si>
  <si>
    <t>Tu</t>
  </si>
  <si>
    <t>We</t>
  </si>
  <si>
    <t>Th</t>
  </si>
  <si>
    <t>Fr</t>
  </si>
  <si>
    <t>Sa</t>
  </si>
  <si>
    <t>May</t>
  </si>
  <si>
    <t>June</t>
  </si>
  <si>
    <t>July</t>
  </si>
  <si>
    <t>August</t>
  </si>
  <si>
    <t>September</t>
  </si>
  <si>
    <t>October</t>
  </si>
  <si>
    <t>November</t>
  </si>
  <si>
    <t>December</t>
  </si>
  <si>
    <t>Last Day to                                Order or File</t>
  </si>
  <si>
    <t>Last day to File</t>
  </si>
  <si>
    <t xml:space="preserve">Last Day to Register </t>
  </si>
  <si>
    <t>Last Day                   Early Voting</t>
  </si>
  <si>
    <t>ELECTION DAY                    Last Day RCV BBM</t>
  </si>
  <si>
    <t>First Day of              Early Voting</t>
  </si>
  <si>
    <t>Last Day to Apply for BBM</t>
  </si>
  <si>
    <t>Deadline for minor party chairs</t>
  </si>
  <si>
    <r>
      <rPr>
        <b/>
        <sz val="10"/>
        <color theme="1" tint="0.14999847407452621"/>
        <rFont val="Century Gothic"/>
        <family val="2"/>
        <scheme val="minor"/>
      </rPr>
      <t>Party Chairs</t>
    </r>
    <r>
      <rPr>
        <sz val="10"/>
        <color theme="1" tint="0.14999847407452621"/>
        <rFont val="Century Gothic"/>
        <family val="1"/>
        <scheme val="minor"/>
      </rPr>
      <t xml:space="preserve"> </t>
    </r>
    <r>
      <rPr>
        <b/>
        <sz val="10"/>
        <color rgb="FFFF0000"/>
        <rFont val="Century Gothic"/>
        <family val="2"/>
        <scheme val="minor"/>
      </rPr>
      <t>Deadline</t>
    </r>
  </si>
  <si>
    <t xml:space="preserve">First Day of                           New Term </t>
  </si>
  <si>
    <t>First Day to Apply for Write-in</t>
  </si>
  <si>
    <t>Appointment of Judges &amp; Alt Judges &amp; evbb pop 500,00 less</t>
  </si>
  <si>
    <t>Appoint Members to evbb pop over 500,000</t>
  </si>
  <si>
    <t>Appointment of evbb &amp; others</t>
  </si>
  <si>
    <t>Last Day submit exemption from accessible VSR</t>
  </si>
  <si>
    <t>Political Subdivisions other than Counties</t>
  </si>
  <si>
    <t>Deadlines &amp;                                          Testing ballot Programming ASAP</t>
  </si>
  <si>
    <t>Deadline to Withdrawl</t>
  </si>
  <si>
    <t>Deadline certify names of independents &amp; write-ins</t>
  </si>
  <si>
    <t>Postings &amp;                              Notice of Election</t>
  </si>
  <si>
    <t>Notice APPT &amp;               Writ of Election</t>
  </si>
  <si>
    <t>Deadlines &amp; Required Office Hours</t>
  </si>
  <si>
    <t>First test Public L&amp;A Recommendation</t>
  </si>
  <si>
    <t>FPCA Deadline</t>
  </si>
  <si>
    <t>Deadline of Supplement list of names for E.V. Officer List</t>
  </si>
  <si>
    <t>Proclamation ordering November General Election</t>
  </si>
  <si>
    <t>Columbus Day</t>
  </si>
  <si>
    <t>Notice of Election Postings web/newspaper</t>
  </si>
  <si>
    <t>Deadline to appt SVC</t>
  </si>
  <si>
    <t>Issue order for Appt. of SVC Recommendation</t>
  </si>
  <si>
    <t>Deadline Parties Submitting Precinct Presiding Judges and Alts</t>
  </si>
  <si>
    <t>Deadline to appt SVC if petitioned</t>
  </si>
  <si>
    <t>Deadlines for Required Postings</t>
  </si>
  <si>
    <t xml:space="preserve">Deadlines temp E.V Locations, Notices &amp; FPCA </t>
  </si>
  <si>
    <t>FPCA Info</t>
  </si>
  <si>
    <t>Defective Abbm &amp; Deadline Public L&amp;A</t>
  </si>
  <si>
    <t>Deadline to file petition for Sunday extended hours pop 55,000</t>
  </si>
  <si>
    <t>Deadline to file petition for Saturday extended hours pop 55,000</t>
  </si>
  <si>
    <t>Required Postings &amp; app for emergency abbm sickness/disability</t>
  </si>
  <si>
    <t>Extended Voting Requirements</t>
  </si>
  <si>
    <t>Deadline for abbm fax/email original rcv'd. Late ballot eligibility</t>
  </si>
  <si>
    <t>Deadlines for Election Inspectors</t>
  </si>
  <si>
    <t>Deadline to perform testing</t>
  </si>
  <si>
    <t>Deadline to submit abbm for emerg. due death in fam./Prov. Ballots delivery</t>
  </si>
  <si>
    <t>Late Domestic Ballots</t>
  </si>
  <si>
    <t>First Possible day to Canvass</t>
  </si>
  <si>
    <t>Deadlines for FPCA &amp; Provisional ID / cure periods / last day to begin partial manual count</t>
  </si>
  <si>
    <t>Deadline for VR to complete review of Provisional Ballots</t>
  </si>
  <si>
    <t>Deadline to post notice of Canvass if taken place on 11.22.22</t>
  </si>
  <si>
    <t>Last Day for EVBB to Convene to Qualify &amp; Count</t>
  </si>
  <si>
    <t>Last Day for Official Canvass</t>
  </si>
  <si>
    <t>Election Records electronic format</t>
  </si>
  <si>
    <t>Governor - State Canvass</t>
  </si>
  <si>
    <t>Last Day to Complete Partial Manual Count</t>
  </si>
  <si>
    <t>Deadline to mail Outcome to Provisional Voter</t>
  </si>
  <si>
    <t>Deadline to file electronic pct by pct returns with SOS</t>
  </si>
  <si>
    <t>Deadline for Governor Canvass</t>
  </si>
  <si>
    <t>Mandatory Office Hours period ends</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</si>
</sst>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d"/>
  </numFmts>
  <fonts count="51" x14ac:knownFonts="1">
    <font>
      <sz val="11"/>
      <color theme="1" tint="0.2499465926084170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9"/>
      <color indexed="81"/>
      <name val="Tahoma"/>
      <family val="2"/>
    </font>
    <font>
      <b/>
      <sz val="9"/>
      <color indexed="81"/>
      <name val="Tahoma"/>
      <family val="2"/>
    </font>
    <font>
      <b/>
      <sz val="9"/>
      <color theme="1" tint="0.14999847407452621"/>
      <name val="Century Gothic"/>
      <family val="2"/>
      <scheme val="minor"/>
    </font>
    <font>
      <sz val="9"/>
      <color theme="1" tint="0.14999847407452621"/>
      <name val="Century Gothic"/>
      <family val="2"/>
      <scheme val="minor"/>
    </font>
    <font>
      <b/>
      <sz val="9"/>
      <color rgb="FFFF0000"/>
      <name val="Century Gothic"/>
      <family val="2"/>
      <scheme val="minor"/>
    </font>
    <font>
      <b/>
      <sz val="10"/>
      <color theme="1" tint="0.14999847407452621"/>
      <name val="Century Gothic"/>
      <family val="2"/>
      <scheme val="minor"/>
    </font>
    <font>
      <sz val="12"/>
      <color theme="1"/>
      <name val="Century Gothic"/>
      <family val="2"/>
      <scheme val="minor"/>
    </font>
    <font>
      <sz val="28"/>
      <color theme="7" tint="-0.499984740745262"/>
      <name val="Century Gothic"/>
      <family val="2"/>
      <scheme val="major"/>
    </font>
    <font>
      <sz val="28"/>
      <color theme="3" tint="-0.499984740745262"/>
      <name val="Century Gothic"/>
      <family val="2"/>
      <scheme val="major"/>
    </font>
    <font>
      <b/>
      <sz val="22"/>
      <color theme="0" tint="-0.499984740745262"/>
      <name val="Century Gothic"/>
      <family val="2"/>
      <scheme val="minor"/>
    </font>
    <font>
      <sz val="11"/>
      <color theme="0" tint="-0.499984740745262"/>
      <name val="Century Gothic"/>
      <family val="2"/>
      <scheme val="minor"/>
    </font>
    <font>
      <sz val="42"/>
      <color theme="3" tint="-0.499984740745262"/>
      <name val="Century Gothic"/>
      <family val="2"/>
      <scheme val="major"/>
    </font>
    <font>
      <sz val="11"/>
      <color theme="1" tint="0.499984740745262"/>
      <name val="Century Gothic"/>
      <family val="2"/>
      <scheme val="minor"/>
    </font>
    <font>
      <sz val="11"/>
      <color theme="0" tint="-0.499984740745262"/>
      <name val="Calibri"/>
      <family val="2"/>
    </font>
    <font>
      <b/>
      <sz val="22"/>
      <color theme="7" tint="-0.249977111117893"/>
      <name val="Century Gothic"/>
      <family val="2"/>
      <scheme val="major"/>
    </font>
    <font>
      <sz val="11"/>
      <color theme="1" tint="0.14999847407452621"/>
      <name val="Century Gothic"/>
      <family val="2"/>
      <scheme val="minor"/>
    </font>
    <font>
      <sz val="16"/>
      <color theme="7" tint="-0.499984740745262"/>
      <name val="Century Gothic"/>
      <family val="2"/>
      <scheme val="major"/>
    </font>
    <font>
      <b/>
      <sz val="16"/>
      <color theme="7" tint="-0.499984740745262"/>
      <name val="Century Gothic"/>
      <family val="2"/>
      <scheme val="major"/>
    </font>
    <font>
      <sz val="10"/>
      <color theme="0"/>
      <name val="Century Gothic"/>
      <family val="2"/>
      <scheme val="major"/>
    </font>
    <font>
      <sz val="10"/>
      <color theme="1"/>
      <name val="Century Gothic"/>
      <family val="2"/>
      <scheme val="major"/>
    </font>
    <font>
      <sz val="12"/>
      <color theme="1" tint="0.14999847407452621"/>
      <name val="Century Gothic"/>
      <family val="2"/>
      <scheme val="minor"/>
    </font>
    <font>
      <b/>
      <sz val="9"/>
      <color theme="1" tint="4.9989318521683403E-2"/>
      <name val="Century Gothic"/>
      <family val="2"/>
      <scheme val="minor"/>
    </font>
    <font>
      <b/>
      <sz val="9"/>
      <color theme="3" tint="-0.249977111117893"/>
      <name val="Century Gothic"/>
      <family val="2"/>
      <scheme val="minor"/>
    </font>
    <font>
      <b/>
      <sz val="9"/>
      <color theme="0"/>
      <name val="Century Gothic"/>
      <family val="2"/>
      <scheme val="minor"/>
    </font>
    <font>
      <b/>
      <sz val="9"/>
      <color theme="1"/>
      <name val="Century Gothic"/>
      <family val="2"/>
      <scheme val="minor"/>
    </font>
    <font>
      <b/>
      <sz val="12"/>
      <color theme="1" tint="0.14999847407452621"/>
      <name val="Century Gothic"/>
      <family val="2"/>
      <scheme val="minor"/>
    </font>
    <font>
      <b/>
      <sz val="10"/>
      <color rgb="FFFF0000"/>
      <name val="Century Gothic"/>
      <family val="2"/>
      <scheme val="minor"/>
    </font>
    <font>
      <sz val="10"/>
      <color theme="1" tint="0.14999847407452621"/>
      <name val="Century Gothic"/>
      <family val="2"/>
      <scheme val="minor"/>
    </font>
    <font>
      <b/>
      <sz val="8"/>
      <color theme="1" tint="0.14999847407452621"/>
      <name val="Century Gothic"/>
      <family val="2"/>
      <scheme val="minor"/>
    </font>
    <font>
      <b/>
      <sz val="7"/>
      <color theme="1" tint="0.14999847407452621"/>
      <name val="Century Gothic"/>
      <family val="2"/>
      <scheme val="minor"/>
    </font>
  </fonts>
  <fills count="30">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theme="0" tint="-4.9989318521683403E-2"/>
        <bgColor indexed="64"/>
      </patternFill>
    </fill>
    <fill>
      <patternFill patternType="solid">
        <fgColor theme="9"/>
      </patternFill>
    </fill>
    <fill>
      <patternFill patternType="solid">
        <fgColor theme="8" tint="0.79998168889431442"/>
        <bgColor indexed="64"/>
      </patternFill>
    </fill>
    <fill>
      <patternFill patternType="solid">
        <fgColor theme="3" tint="-0.499984740745262"/>
        <bgColor indexed="64"/>
      </patternFill>
    </fill>
    <fill>
      <patternFill patternType="solid">
        <fgColor theme="7" tint="0.59996337778862885"/>
        <bgColor indexed="65"/>
      </patternFill>
    </fill>
    <fill>
      <patternFill patternType="solid">
        <fgColor theme="8" tint="-0.24994659260841701"/>
        <bgColor indexed="65"/>
      </patternFill>
    </fill>
    <fill>
      <patternFill patternType="solid">
        <fgColor theme="6" tint="-0.499984740745262"/>
        <bgColor indexed="65"/>
      </patternFill>
    </fill>
    <fill>
      <patternFill patternType="lightDown">
        <fgColor theme="3"/>
      </patternFill>
    </fill>
    <fill>
      <patternFill patternType="solid">
        <fgColor rgb="FF00B050"/>
        <bgColor indexed="64"/>
      </patternFill>
    </fill>
    <fill>
      <patternFill patternType="solid">
        <fgColor rgb="FFFF0000"/>
        <bgColor indexed="64"/>
      </patternFill>
    </fill>
    <fill>
      <patternFill patternType="solid">
        <fgColor rgb="FFFFFF00"/>
        <bgColor indexed="64"/>
      </patternFill>
    </fill>
    <fill>
      <patternFill patternType="solid">
        <fgColor theme="4"/>
        <bgColor indexed="64"/>
      </patternFill>
    </fill>
    <fill>
      <patternFill patternType="solid">
        <fgColor rgb="FF00B0F0"/>
        <bgColor indexed="64"/>
      </patternFill>
    </fill>
    <fill>
      <patternFill patternType="solid">
        <fgColor theme="7" tint="0.79998168889431442"/>
        <bgColor indexed="64"/>
      </patternFill>
    </fill>
    <fill>
      <patternFill patternType="solid">
        <fgColor rgb="FFFFC000"/>
        <bgColor indexed="64"/>
      </patternFill>
    </fill>
    <fill>
      <patternFill patternType="solid">
        <fgColor rgb="FF7030A0"/>
        <bgColor indexed="64"/>
      </patternFill>
    </fill>
    <fill>
      <patternFill patternType="solid">
        <fgColor rgb="FFC00000"/>
        <bgColor indexed="64"/>
      </patternFill>
    </fill>
    <fill>
      <patternFill patternType="solid">
        <fgColor theme="6"/>
        <bgColor indexed="64"/>
      </patternFill>
    </fill>
    <fill>
      <patternFill patternType="solid">
        <fgColor theme="1" tint="0.499984740745262"/>
        <bgColor indexed="64"/>
      </patternFill>
    </fill>
    <fill>
      <patternFill patternType="solid">
        <fgColor rgb="FFE749C5"/>
        <bgColor indexed="64"/>
      </patternFill>
    </fill>
  </fills>
  <borders count="39">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right/>
      <top/>
      <bottom style="thin">
        <color theme="0" tint="-0.1499679555650502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3" tint="-0.499984740745262"/>
      </left>
      <right style="thin">
        <color theme="0" tint="-0.249977111117893"/>
      </right>
      <top style="thin">
        <color theme="3" tint="-0.499984740745262"/>
      </top>
      <bottom style="thin">
        <color theme="3" tint="-0.499984740745262"/>
      </bottom>
      <diagonal/>
    </border>
    <border>
      <left style="thin">
        <color theme="0" tint="-0.249977111117893"/>
      </left>
      <right style="thin">
        <color theme="0" tint="-0.249977111117893"/>
      </right>
      <top style="thin">
        <color theme="3" tint="-0.499984740745262"/>
      </top>
      <bottom style="thin">
        <color theme="3" tint="-0.499984740745262"/>
      </bottom>
      <diagonal/>
    </border>
    <border>
      <left style="thin">
        <color theme="0" tint="-0.249977111117893"/>
      </left>
      <right style="thin">
        <color theme="3" tint="-0.499984740745262"/>
      </right>
      <top style="thin">
        <color theme="3" tint="-0.499984740745262"/>
      </top>
      <bottom style="thin">
        <color theme="3" tint="-0.499984740745262"/>
      </bottom>
      <diagonal/>
    </border>
    <border>
      <left style="thin">
        <color theme="0" tint="-0.249977111117893"/>
      </left>
      <right style="thin">
        <color theme="0" tint="-0.249977111117893"/>
      </right>
      <top/>
      <bottom style="thin">
        <color theme="0" tint="-0.249977111117893"/>
      </bottom>
      <diagonal/>
    </border>
    <border>
      <left style="thin">
        <color theme="0" tint="-0.249977111117893"/>
      </left>
      <right style="thin">
        <color theme="0" tint="-0.249977111117893"/>
      </right>
      <top style="thin">
        <color theme="0" tint="-0.249977111117893"/>
      </top>
      <bottom style="thin">
        <color theme="0" tint="-0.249977111117893"/>
      </bottom>
      <diagonal/>
    </border>
  </borders>
  <cellStyleXfs count="24">
    <xf numFmtId="0" fontId="0" fillId="0" borderId="0">
      <alignment vertical="top"/>
    </xf>
    <xf numFmtId="0" fontId="8" fillId="2" borderId="0" applyNumberFormat="0" applyBorder="0" applyAlignment="0" applyProtection="0"/>
    <xf numFmtId="0" fontId="7" fillId="0" borderId="3" applyNumberFormat="0" applyFill="0" applyProtection="0">
      <alignment horizontal="left" vertical="center" indent="1"/>
    </xf>
    <xf numFmtId="0" fontId="2" fillId="3" borderId="1" applyNumberFormat="0" applyAlignment="0" applyProtection="0"/>
    <xf numFmtId="0" fontId="3" fillId="4" borderId="2" applyNumberFormat="0" applyProtection="0">
      <alignment vertical="center"/>
    </xf>
    <xf numFmtId="0" fontId="4" fillId="0" borderId="0" applyFill="0" applyBorder="0" applyProtection="0">
      <alignment vertical="center"/>
    </xf>
    <xf numFmtId="43" fontId="6" fillId="0" borderId="0" applyFont="0" applyFill="0" applyBorder="0" applyAlignment="0" applyProtection="0"/>
    <xf numFmtId="41" fontId="6" fillId="0" borderId="0" applyFont="0" applyFill="0" applyBorder="0" applyAlignment="0" applyProtection="0"/>
    <xf numFmtId="44" fontId="6" fillId="0" borderId="0" applyFont="0" applyFill="0" applyBorder="0" applyAlignment="0" applyProtection="0"/>
    <xf numFmtId="42" fontId="6" fillId="0" borderId="0" applyFont="0" applyFill="0" applyBorder="0" applyAlignment="0" applyProtection="0"/>
    <xf numFmtId="9" fontId="6" fillId="0" borderId="0" applyFont="0" applyFill="0" applyBorder="0" applyAlignment="0" applyProtection="0"/>
    <xf numFmtId="0" fontId="10" fillId="5" borderId="0" applyBorder="0" applyProtection="0">
      <alignment horizontal="left" vertical="top" wrapText="1" indent="1"/>
    </xf>
    <xf numFmtId="164" fontId="6" fillId="0" borderId="0">
      <alignment horizontal="left" indent="1"/>
    </xf>
    <xf numFmtId="0" fontId="9" fillId="5" borderId="0" applyNumberFormat="0" applyFont="0" applyBorder="0" applyAlignment="0">
      <alignment horizontal="left" vertical="center" indent="1"/>
    </xf>
    <xf numFmtId="0" fontId="5" fillId="0" borderId="0">
      <alignment horizontal="left" indent="1"/>
    </xf>
    <xf numFmtId="0" fontId="7" fillId="0" borderId="0" applyFill="0" applyProtection="0"/>
    <xf numFmtId="0" fontId="11" fillId="0" borderId="0" applyFill="0" applyProtection="0"/>
    <xf numFmtId="0" fontId="27" fillId="0" borderId="0"/>
    <xf numFmtId="0" fontId="42" fillId="14" borderId="38">
      <alignment horizontal="center" vertical="center"/>
    </xf>
    <xf numFmtId="0" fontId="43" fillId="0" borderId="38" applyNumberFormat="0">
      <alignment horizontal="center" vertical="center"/>
    </xf>
    <xf numFmtId="0" fontId="44" fillId="15" borderId="38">
      <alignment horizontal="center" vertical="center"/>
    </xf>
    <xf numFmtId="0" fontId="42" fillId="11" borderId="38">
      <alignment horizontal="center" vertical="center"/>
    </xf>
    <xf numFmtId="0" fontId="44" fillId="16" borderId="38" applyNumberFormat="0">
      <alignment horizontal="center" vertical="center"/>
    </xf>
    <xf numFmtId="0" fontId="45" fillId="17" borderId="38" applyNumberFormat="0">
      <alignment horizontal="center" vertical="center"/>
    </xf>
  </cellStyleXfs>
  <cellXfs count="180">
    <xf numFmtId="0" fontId="0" fillId="0" borderId="0" xfId="0">
      <alignment vertical="top"/>
    </xf>
    <xf numFmtId="0" fontId="12" fillId="0" borderId="0" xfId="0" applyFont="1">
      <alignment vertical="top"/>
    </xf>
    <xf numFmtId="0" fontId="12" fillId="0" borderId="0" xfId="0" applyFont="1" applyFill="1" applyBorder="1">
      <alignment vertical="top"/>
    </xf>
    <xf numFmtId="0" fontId="12" fillId="0" borderId="0" xfId="2" applyFont="1" applyFill="1" applyBorder="1" applyAlignment="1">
      <alignment vertical="center"/>
    </xf>
    <xf numFmtId="0" fontId="13" fillId="0" borderId="0" xfId="5" applyFont="1" applyFill="1" applyAlignment="1">
      <alignment horizontal="left" vertical="center"/>
    </xf>
    <xf numFmtId="0" fontId="14" fillId="0" borderId="0" xfId="0" applyFont="1" applyAlignment="1">
      <alignment horizontal="left" vertical="center" indent="1"/>
    </xf>
    <xf numFmtId="0" fontId="14" fillId="0" borderId="0" xfId="0" applyFont="1" applyFill="1" applyBorder="1" applyAlignment="1">
      <alignment horizontal="left" vertical="center" indent="1"/>
    </xf>
    <xf numFmtId="164" fontId="14" fillId="0" borderId="9" xfId="12" applyFont="1" applyFill="1" applyBorder="1" applyAlignment="1">
      <alignment horizontal="right" vertical="center" indent="1"/>
    </xf>
    <xf numFmtId="164" fontId="14" fillId="0" borderId="9" xfId="13" applyNumberFormat="1" applyFont="1" applyFill="1" applyBorder="1" applyAlignment="1">
      <alignment horizontal="right" vertical="center" wrapText="1" indent="1"/>
    </xf>
    <xf numFmtId="0" fontId="16" fillId="6" borderId="4" xfId="2" applyFont="1" applyFill="1" applyBorder="1" applyAlignment="1">
      <alignment horizontal="center" vertical="center"/>
    </xf>
    <xf numFmtId="0" fontId="16" fillId="6" borderId="5" xfId="2" applyFont="1" applyFill="1" applyBorder="1" applyAlignment="1">
      <alignment horizontal="center" vertical="center"/>
    </xf>
    <xf numFmtId="0" fontId="16" fillId="6" borderId="6" xfId="2" applyFont="1" applyFill="1" applyBorder="1" applyAlignment="1">
      <alignment horizontal="center" vertical="center"/>
    </xf>
    <xf numFmtId="0" fontId="14" fillId="0" borderId="0" xfId="0" applyFont="1" applyAlignment="1">
      <alignment horizontal="center" vertical="center"/>
    </xf>
    <xf numFmtId="0" fontId="14" fillId="0" borderId="0" xfId="0" applyFont="1" applyFill="1" applyBorder="1" applyAlignment="1">
      <alignment horizontal="center" vertical="center"/>
    </xf>
    <xf numFmtId="164" fontId="14" fillId="0" borderId="9" xfId="12" applyFont="1" applyFill="1" applyBorder="1" applyAlignment="1">
      <alignment horizontal="right" indent="1"/>
    </xf>
    <xf numFmtId="164" fontId="14" fillId="0" borderId="11" xfId="12" applyFont="1" applyFill="1" applyBorder="1" applyAlignment="1">
      <alignment horizontal="right" indent="1"/>
    </xf>
    <xf numFmtId="0" fontId="15" fillId="0" borderId="10" xfId="0" applyFont="1" applyFill="1" applyBorder="1" applyAlignment="1">
      <alignment horizontal="left" vertical="top" wrapText="1" indent="1"/>
    </xf>
    <xf numFmtId="0" fontId="15" fillId="0" borderId="0" xfId="0" applyFont="1" applyAlignment="1">
      <alignment horizontal="left" vertical="top" wrapText="1" indent="1"/>
    </xf>
    <xf numFmtId="0" fontId="15" fillId="0" borderId="0" xfId="0" applyFont="1" applyFill="1" applyBorder="1" applyAlignment="1">
      <alignment horizontal="left" vertical="top" wrapText="1" indent="1"/>
    </xf>
    <xf numFmtId="0" fontId="15" fillId="0" borderId="10" xfId="13" applyFont="1" applyFill="1" applyBorder="1" applyAlignment="1">
      <alignment horizontal="left" vertical="top" wrapText="1" indent="1"/>
    </xf>
    <xf numFmtId="0" fontId="12" fillId="0" borderId="8" xfId="16" applyFont="1" applyFill="1" applyBorder="1" applyAlignment="1">
      <alignment horizontal="center" vertical="center"/>
    </xf>
    <xf numFmtId="0" fontId="12" fillId="0" borderId="8" xfId="14" applyFont="1" applyFill="1" applyBorder="1" applyAlignment="1">
      <alignment horizontal="center" vertical="center"/>
    </xf>
    <xf numFmtId="0" fontId="16" fillId="7" borderId="4" xfId="2" applyFont="1" applyFill="1" applyBorder="1" applyAlignment="1">
      <alignment horizontal="center" vertical="center"/>
    </xf>
    <xf numFmtId="0" fontId="16" fillId="7" borderId="5" xfId="2" applyFont="1" applyFill="1" applyBorder="1" applyAlignment="1">
      <alignment horizontal="center" vertical="center"/>
    </xf>
    <xf numFmtId="0" fontId="16" fillId="7" borderId="6" xfId="2" applyFont="1" applyFill="1" applyBorder="1" applyAlignment="1">
      <alignment horizontal="center" vertical="center"/>
    </xf>
    <xf numFmtId="0" fontId="16" fillId="8" borderId="4" xfId="2" applyFont="1" applyFill="1" applyBorder="1" applyAlignment="1">
      <alignment horizontal="center" vertical="center"/>
    </xf>
    <xf numFmtId="0" fontId="16" fillId="8" borderId="5" xfId="2" applyFont="1" applyFill="1" applyBorder="1" applyAlignment="1">
      <alignment horizontal="center" vertical="center"/>
    </xf>
    <xf numFmtId="0" fontId="16" fillId="8" borderId="6" xfId="2" applyFont="1" applyFill="1" applyBorder="1" applyAlignment="1">
      <alignment horizontal="center" vertical="center"/>
    </xf>
    <xf numFmtId="164" fontId="14" fillId="0" borderId="14" xfId="12" applyFont="1" applyFill="1" applyBorder="1" applyAlignment="1">
      <alignment horizontal="right" indent="1"/>
    </xf>
    <xf numFmtId="0" fontId="15" fillId="0" borderId="15" xfId="13" applyFont="1" applyFill="1" applyBorder="1" applyAlignment="1">
      <alignment horizontal="left" vertical="top" wrapText="1" indent="1"/>
    </xf>
    <xf numFmtId="0" fontId="15" fillId="0" borderId="15" xfId="0" applyFont="1" applyFill="1" applyBorder="1" applyAlignment="1">
      <alignment horizontal="left" vertical="top" wrapText="1" indent="1"/>
    </xf>
    <xf numFmtId="164" fontId="14" fillId="0" borderId="14" xfId="13" applyNumberFormat="1" applyFont="1" applyFill="1" applyBorder="1" applyAlignment="1">
      <alignment horizontal="right" vertical="center" wrapText="1" indent="1"/>
    </xf>
    <xf numFmtId="164" fontId="14" fillId="0" borderId="14" xfId="12" applyFont="1" applyFill="1" applyBorder="1" applyAlignment="1">
      <alignment horizontal="right" vertical="center" indent="1"/>
    </xf>
    <xf numFmtId="0" fontId="16" fillId="9" borderId="4" xfId="2" applyFont="1" applyFill="1" applyBorder="1" applyAlignment="1">
      <alignment horizontal="center" vertical="center"/>
    </xf>
    <xf numFmtId="0" fontId="16" fillId="9" borderId="5" xfId="2" applyFont="1" applyFill="1" applyBorder="1" applyAlignment="1">
      <alignment horizontal="center" vertical="center"/>
    </xf>
    <xf numFmtId="0" fontId="16" fillId="9" borderId="6" xfId="2" applyFont="1" applyFill="1" applyBorder="1" applyAlignment="1">
      <alignment horizontal="center" vertical="center"/>
    </xf>
    <xf numFmtId="164" fontId="14" fillId="0" borderId="20" xfId="12" applyFont="1" applyFill="1" applyBorder="1" applyAlignment="1">
      <alignment horizontal="right" indent="1"/>
    </xf>
    <xf numFmtId="0" fontId="15" fillId="0" borderId="21" xfId="13" applyFont="1" applyFill="1" applyBorder="1" applyAlignment="1">
      <alignment horizontal="left" vertical="top" wrapText="1" indent="1"/>
    </xf>
    <xf numFmtId="0" fontId="15" fillId="0" borderId="21" xfId="0" applyFont="1" applyFill="1" applyBorder="1" applyAlignment="1">
      <alignment horizontal="left" vertical="top" wrapText="1" indent="1"/>
    </xf>
    <xf numFmtId="164" fontId="14" fillId="0" borderId="20" xfId="13" applyNumberFormat="1" applyFont="1" applyFill="1" applyBorder="1" applyAlignment="1">
      <alignment horizontal="right" vertical="center" wrapText="1" indent="1"/>
    </xf>
    <xf numFmtId="164" fontId="14" fillId="0" borderId="20" xfId="12" applyFont="1" applyFill="1" applyBorder="1" applyAlignment="1">
      <alignment horizontal="right" vertical="center" indent="1"/>
    </xf>
    <xf numFmtId="164" fontId="14" fillId="0" borderId="26" xfId="12" applyFont="1" applyFill="1" applyBorder="1" applyAlignment="1">
      <alignment horizontal="right" indent="1"/>
    </xf>
    <xf numFmtId="0" fontId="15" fillId="0" borderId="27" xfId="13" applyFont="1" applyFill="1" applyBorder="1" applyAlignment="1">
      <alignment horizontal="left" vertical="top" wrapText="1" indent="1"/>
    </xf>
    <xf numFmtId="0" fontId="15" fillId="0" borderId="27" xfId="0" applyFont="1" applyFill="1" applyBorder="1" applyAlignment="1">
      <alignment horizontal="left" vertical="top" wrapText="1" indent="1"/>
    </xf>
    <xf numFmtId="164" fontId="14" fillId="0" borderId="26" xfId="13" applyNumberFormat="1" applyFont="1" applyFill="1" applyBorder="1" applyAlignment="1">
      <alignment horizontal="right" vertical="center" wrapText="1" indent="1"/>
    </xf>
    <xf numFmtId="164" fontId="14" fillId="0" borderId="26" xfId="12" applyFont="1" applyFill="1" applyBorder="1" applyAlignment="1">
      <alignment horizontal="right" vertical="center" indent="1"/>
    </xf>
    <xf numFmtId="0" fontId="12" fillId="10" borderId="0" xfId="2" applyFont="1" applyFill="1" applyBorder="1" applyAlignment="1">
      <alignment vertical="center"/>
    </xf>
    <xf numFmtId="0" fontId="26" fillId="0" borderId="10" xfId="0" applyFont="1" applyFill="1" applyBorder="1" applyAlignment="1">
      <alignment horizontal="center" vertical="center" wrapText="1"/>
    </xf>
    <xf numFmtId="0" fontId="28" fillId="0" borderId="32" xfId="17" applyFont="1" applyBorder="1"/>
    <xf numFmtId="0" fontId="30" fillId="0" borderId="32" xfId="17" applyFont="1" applyBorder="1" applyAlignment="1">
      <alignment vertical="center"/>
    </xf>
    <xf numFmtId="0" fontId="30" fillId="0" borderId="32" xfId="17" applyFont="1" applyBorder="1" applyAlignment="1">
      <alignment horizontal="left" vertical="center"/>
    </xf>
    <xf numFmtId="0" fontId="31" fillId="0" borderId="32" xfId="17" applyFont="1" applyBorder="1" applyAlignment="1">
      <alignment vertical="center"/>
    </xf>
    <xf numFmtId="0" fontId="33" fillId="0" borderId="0" xfId="17" applyFont="1" applyAlignment="1">
      <alignment vertical="center"/>
    </xf>
    <xf numFmtId="0" fontId="34" fillId="0" borderId="0" xfId="17" applyFont="1" applyAlignment="1">
      <alignment vertical="center"/>
    </xf>
    <xf numFmtId="0" fontId="35" fillId="0" borderId="0" xfId="17" applyFont="1" applyAlignment="1">
      <alignment vertical="center"/>
    </xf>
    <xf numFmtId="0" fontId="30" fillId="0" borderId="0" xfId="17" applyFont="1" applyAlignment="1">
      <alignment vertical="center"/>
    </xf>
    <xf numFmtId="0" fontId="30" fillId="0" borderId="0" xfId="17" applyFont="1" applyAlignment="1">
      <alignment horizontal="left" vertical="center"/>
    </xf>
    <xf numFmtId="0" fontId="31" fillId="0" borderId="0" xfId="17" applyFont="1" applyAlignment="1">
      <alignment vertical="center"/>
    </xf>
    <xf numFmtId="0" fontId="36" fillId="7" borderId="33" xfId="17" applyFont="1" applyFill="1" applyBorder="1" applyAlignment="1">
      <alignment horizontal="center" vertical="center"/>
    </xf>
    <xf numFmtId="0" fontId="36" fillId="0" borderId="0" xfId="17" applyFont="1" applyAlignment="1">
      <alignment horizontal="left" vertical="center" indent="1"/>
    </xf>
    <xf numFmtId="0" fontId="36" fillId="9" borderId="33" xfId="17" applyFont="1" applyFill="1" applyBorder="1" applyAlignment="1">
      <alignment horizontal="center" vertical="center"/>
    </xf>
    <xf numFmtId="0" fontId="31" fillId="0" borderId="0" xfId="17" applyFont="1" applyAlignment="1">
      <alignment horizontal="left" vertical="center"/>
    </xf>
    <xf numFmtId="0" fontId="36" fillId="12" borderId="33" xfId="17" applyFont="1" applyFill="1" applyBorder="1" applyAlignment="1">
      <alignment horizontal="center" vertical="center"/>
    </xf>
    <xf numFmtId="0" fontId="38" fillId="0" borderId="0" xfId="17" applyFont="1" applyAlignment="1">
      <alignment vertical="top"/>
    </xf>
    <xf numFmtId="0" fontId="39" fillId="13" borderId="34" xfId="17" applyFont="1" applyFill="1" applyBorder="1" applyAlignment="1">
      <alignment horizontal="center" vertical="center"/>
    </xf>
    <xf numFmtId="0" fontId="39" fillId="13" borderId="35" xfId="17" applyFont="1" applyFill="1" applyBorder="1" applyAlignment="1">
      <alignment horizontal="center" vertical="center"/>
    </xf>
    <xf numFmtId="0" fontId="39" fillId="13" borderId="36" xfId="17" applyFont="1" applyFill="1" applyBorder="1" applyAlignment="1">
      <alignment horizontal="center" vertical="center"/>
    </xf>
    <xf numFmtId="0" fontId="40" fillId="0" borderId="0" xfId="17" applyFont="1"/>
    <xf numFmtId="164" fontId="41" fillId="0" borderId="37" xfId="17" applyNumberFormat="1" applyFont="1" applyBorder="1" applyAlignment="1">
      <alignment horizontal="center" vertical="center"/>
    </xf>
    <xf numFmtId="164" fontId="41" fillId="0" borderId="37" xfId="18" applyNumberFormat="1" applyFont="1" applyFill="1" applyBorder="1">
      <alignment horizontal="center" vertical="center"/>
    </xf>
    <xf numFmtId="164" fontId="41" fillId="0" borderId="37" xfId="19" applyNumberFormat="1" applyFont="1" applyBorder="1">
      <alignment horizontal="center" vertical="center"/>
    </xf>
    <xf numFmtId="0" fontId="41" fillId="0" borderId="0" xfId="17" applyFont="1" applyAlignment="1">
      <alignment horizontal="center" vertical="center"/>
    </xf>
    <xf numFmtId="164" fontId="41" fillId="0" borderId="38" xfId="20" applyNumberFormat="1" applyFont="1" applyFill="1">
      <alignment horizontal="center" vertical="center"/>
    </xf>
    <xf numFmtId="164" fontId="41" fillId="0" borderId="38" xfId="19" applyNumberFormat="1" applyFont="1">
      <alignment horizontal="center" vertical="center"/>
    </xf>
    <xf numFmtId="164" fontId="41" fillId="0" borderId="38" xfId="18" applyNumberFormat="1" applyFont="1" applyFill="1">
      <alignment horizontal="center" vertical="center"/>
    </xf>
    <xf numFmtId="164" fontId="41" fillId="0" borderId="38" xfId="21" applyNumberFormat="1" applyFont="1" applyFill="1">
      <alignment horizontal="center" vertical="center"/>
    </xf>
    <xf numFmtId="164" fontId="41" fillId="0" borderId="38" xfId="22" applyNumberFormat="1" applyFont="1" applyFill="1">
      <alignment horizontal="center" vertical="center"/>
    </xf>
    <xf numFmtId="164" fontId="41" fillId="0" borderId="38" xfId="23" applyNumberFormat="1" applyFont="1" applyFill="1">
      <alignment horizontal="center" vertical="center"/>
    </xf>
    <xf numFmtId="164" fontId="41" fillId="0" borderId="38" xfId="17" applyNumberFormat="1" applyFont="1" applyBorder="1" applyAlignment="1">
      <alignment horizontal="center" vertical="center"/>
    </xf>
    <xf numFmtId="0" fontId="41" fillId="0" borderId="0" xfId="17" applyFont="1"/>
    <xf numFmtId="164" fontId="41" fillId="0" borderId="38" xfId="19" applyNumberFormat="1" applyFont="1" applyFill="1">
      <alignment horizontal="center" vertical="center"/>
    </xf>
    <xf numFmtId="164" fontId="46" fillId="0" borderId="0" xfId="17" applyNumberFormat="1" applyFont="1"/>
    <xf numFmtId="0" fontId="46" fillId="0" borderId="0" xfId="17" applyFont="1"/>
    <xf numFmtId="164" fontId="41" fillId="19" borderId="38" xfId="22" applyNumberFormat="1" applyFont="1" applyFill="1">
      <alignment horizontal="center" vertical="center"/>
    </xf>
    <xf numFmtId="164" fontId="41" fillId="19" borderId="38" xfId="18" applyNumberFormat="1" applyFont="1" applyFill="1">
      <alignment horizontal="center" vertical="center"/>
    </xf>
    <xf numFmtId="164" fontId="41" fillId="19" borderId="38" xfId="19" applyNumberFormat="1" applyFont="1" applyFill="1">
      <alignment horizontal="center" vertical="center"/>
    </xf>
    <xf numFmtId="164" fontId="41" fillId="19" borderId="38" xfId="20" applyNumberFormat="1" applyFont="1" applyFill="1">
      <alignment horizontal="center" vertical="center"/>
    </xf>
    <xf numFmtId="164" fontId="41" fillId="19" borderId="38" xfId="17" applyNumberFormat="1" applyFont="1" applyFill="1" applyBorder="1" applyAlignment="1">
      <alignment horizontal="center" vertical="center"/>
    </xf>
    <xf numFmtId="164" fontId="41" fillId="19" borderId="37" xfId="19" applyNumberFormat="1" applyFont="1" applyFill="1" applyBorder="1">
      <alignment horizontal="center" vertical="center"/>
    </xf>
    <xf numFmtId="164" fontId="41" fillId="18" borderId="38" xfId="20" applyNumberFormat="1" applyFont="1" applyFill="1">
      <alignment horizontal="center" vertical="center"/>
    </xf>
    <xf numFmtId="164" fontId="41" fillId="20" borderId="38" xfId="20" applyNumberFormat="1" applyFont="1" applyFill="1">
      <alignment horizontal="center" vertical="center"/>
    </xf>
    <xf numFmtId="164" fontId="41" fillId="20" borderId="38" xfId="23" applyNumberFormat="1" applyFont="1" applyFill="1">
      <alignment horizontal="center" vertical="center"/>
    </xf>
    <xf numFmtId="164" fontId="41" fillId="20" borderId="37" xfId="18" applyNumberFormat="1" applyFont="1" applyFill="1" applyBorder="1">
      <alignment horizontal="center" vertical="center"/>
    </xf>
    <xf numFmtId="164" fontId="41" fillId="20" borderId="38" xfId="17" applyNumberFormat="1" applyFont="1" applyFill="1" applyBorder="1" applyAlignment="1">
      <alignment horizontal="center" vertical="center"/>
    </xf>
    <xf numFmtId="164" fontId="41" fillId="21" borderId="38" xfId="19" applyNumberFormat="1" applyFont="1" applyFill="1">
      <alignment horizontal="center" vertical="center"/>
    </xf>
    <xf numFmtId="164" fontId="41" fillId="21" borderId="37" xfId="19" applyNumberFormat="1" applyFont="1" applyFill="1" applyBorder="1">
      <alignment horizontal="center" vertical="center"/>
    </xf>
    <xf numFmtId="164" fontId="14" fillId="19" borderId="20" xfId="13" applyNumberFormat="1" applyFont="1" applyFill="1" applyBorder="1" applyAlignment="1">
      <alignment horizontal="right" vertical="center" wrapText="1" indent="1"/>
    </xf>
    <xf numFmtId="0" fontId="26" fillId="0" borderId="21" xfId="13" applyFont="1" applyFill="1" applyBorder="1" applyAlignment="1">
      <alignment horizontal="center" vertical="center" wrapText="1"/>
    </xf>
    <xf numFmtId="164" fontId="14" fillId="21" borderId="20" xfId="13" applyNumberFormat="1" applyFont="1" applyFill="1" applyBorder="1" applyAlignment="1">
      <alignment horizontal="right" vertical="center" wrapText="1" indent="1"/>
    </xf>
    <xf numFmtId="164" fontId="14" fillId="21" borderId="11" xfId="12" applyFont="1" applyFill="1" applyBorder="1" applyAlignment="1">
      <alignment horizontal="right" indent="1"/>
    </xf>
    <xf numFmtId="0" fontId="24" fillId="0" borderId="21" xfId="13" applyFont="1" applyFill="1" applyBorder="1" applyAlignment="1">
      <alignment horizontal="center" vertical="center" wrapText="1"/>
    </xf>
    <xf numFmtId="0" fontId="26" fillId="0" borderId="27" xfId="0" applyFont="1" applyFill="1" applyBorder="1" applyAlignment="1">
      <alignment horizontal="center" vertical="center" wrapText="1"/>
    </xf>
    <xf numFmtId="164" fontId="14" fillId="20" borderId="26" xfId="12" applyFont="1" applyFill="1" applyBorder="1" applyAlignment="1">
      <alignment horizontal="right" vertical="center" indent="1"/>
    </xf>
    <xf numFmtId="0" fontId="15" fillId="20" borderId="27" xfId="0" applyFont="1" applyFill="1" applyBorder="1" applyAlignment="1">
      <alignment horizontal="left" vertical="top" wrapText="1" indent="1"/>
    </xf>
    <xf numFmtId="164" fontId="14" fillId="20" borderId="26" xfId="13" applyNumberFormat="1" applyFont="1" applyFill="1" applyBorder="1" applyAlignment="1">
      <alignment horizontal="right" vertical="center" wrapText="1" indent="1"/>
    </xf>
    <xf numFmtId="164" fontId="14" fillId="20" borderId="26" xfId="12" applyFont="1" applyFill="1" applyBorder="1" applyAlignment="1">
      <alignment horizontal="right" indent="1"/>
    </xf>
    <xf numFmtId="0" fontId="26" fillId="18" borderId="27" xfId="13" applyFont="1" applyFill="1" applyBorder="1" applyAlignment="1">
      <alignment horizontal="center" vertical="center" wrapText="1"/>
    </xf>
    <xf numFmtId="164" fontId="14" fillId="19" borderId="26" xfId="13" applyNumberFormat="1" applyFont="1" applyFill="1" applyBorder="1" applyAlignment="1">
      <alignment horizontal="right" vertical="center" wrapText="1" indent="1"/>
    </xf>
    <xf numFmtId="164" fontId="14" fillId="19" borderId="26" xfId="12" applyFont="1" applyFill="1" applyBorder="1" applyAlignment="1">
      <alignment horizontal="right" indent="1"/>
    </xf>
    <xf numFmtId="164" fontId="14" fillId="21" borderId="26" xfId="12" applyFont="1" applyFill="1" applyBorder="1" applyAlignment="1">
      <alignment horizontal="right" vertical="center" indent="1"/>
    </xf>
    <xf numFmtId="164" fontId="14" fillId="19" borderId="26" xfId="12" applyFont="1" applyFill="1" applyBorder="1" applyAlignment="1">
      <alignment horizontal="right" vertical="center" indent="1"/>
    </xf>
    <xf numFmtId="0" fontId="26" fillId="20" borderId="27" xfId="0" applyFont="1" applyFill="1" applyBorder="1" applyAlignment="1">
      <alignment horizontal="center" vertical="center" wrapText="1"/>
    </xf>
    <xf numFmtId="164" fontId="14" fillId="19" borderId="14" xfId="13" applyNumberFormat="1" applyFont="1" applyFill="1" applyBorder="1" applyAlignment="1">
      <alignment horizontal="right" vertical="center" wrapText="1" indent="1"/>
    </xf>
    <xf numFmtId="0" fontId="26" fillId="0" borderId="15" xfId="13" applyFont="1" applyFill="1" applyBorder="1" applyAlignment="1">
      <alignment horizontal="center" vertical="center" wrapText="1"/>
    </xf>
    <xf numFmtId="164" fontId="41" fillId="22" borderId="38" xfId="19" applyNumberFormat="1" applyFont="1" applyFill="1">
      <alignment horizontal="center" vertical="center"/>
    </xf>
    <xf numFmtId="164" fontId="14" fillId="22" borderId="20" xfId="12" applyFont="1" applyFill="1" applyBorder="1" applyAlignment="1">
      <alignment horizontal="right" vertical="center" indent="1"/>
    </xf>
    <xf numFmtId="164" fontId="41" fillId="19" borderId="38" xfId="23" applyNumberFormat="1" applyFont="1" applyFill="1">
      <alignment horizontal="center" vertical="center"/>
    </xf>
    <xf numFmtId="164" fontId="14" fillId="19" borderId="20" xfId="12" applyFont="1" applyFill="1" applyBorder="1" applyAlignment="1">
      <alignment horizontal="right" vertical="center" indent="1"/>
    </xf>
    <xf numFmtId="0" fontId="48" fillId="0" borderId="21" xfId="0" applyFont="1" applyFill="1" applyBorder="1" applyAlignment="1">
      <alignment horizontal="center" vertical="center" wrapText="1"/>
    </xf>
    <xf numFmtId="0" fontId="26" fillId="0" borderId="21" xfId="0" applyFont="1" applyFill="1" applyBorder="1" applyAlignment="1">
      <alignment horizontal="center" vertical="center" wrapText="1"/>
    </xf>
    <xf numFmtId="164" fontId="41" fillId="23" borderId="38" xfId="20" applyNumberFormat="1" applyFont="1" applyFill="1">
      <alignment horizontal="center" vertical="center"/>
    </xf>
    <xf numFmtId="164" fontId="14" fillId="23" borderId="20" xfId="13" applyNumberFormat="1" applyFont="1" applyFill="1" applyBorder="1" applyAlignment="1">
      <alignment horizontal="right" vertical="center" wrapText="1" indent="1"/>
    </xf>
    <xf numFmtId="0" fontId="26" fillId="0" borderId="21" xfId="13" applyFont="1" applyFill="1" applyBorder="1" applyAlignment="1">
      <alignment horizontal="left" vertical="top" wrapText="1" indent="1"/>
    </xf>
    <xf numFmtId="164" fontId="41" fillId="23" borderId="37" xfId="17" applyNumberFormat="1" applyFont="1" applyFill="1" applyBorder="1" applyAlignment="1">
      <alignment horizontal="center" vertical="center"/>
    </xf>
    <xf numFmtId="164" fontId="14" fillId="23" borderId="20" xfId="12" applyFont="1" applyFill="1" applyBorder="1" applyAlignment="1">
      <alignment horizontal="right" indent="1"/>
    </xf>
    <xf numFmtId="164" fontId="41" fillId="25" borderId="38" xfId="21" applyNumberFormat="1" applyFont="1" applyFill="1">
      <alignment horizontal="center" vertical="center"/>
    </xf>
    <xf numFmtId="164" fontId="14" fillId="25" borderId="20" xfId="12" applyFont="1" applyFill="1" applyBorder="1" applyAlignment="1">
      <alignment horizontal="right" vertical="center" indent="1"/>
    </xf>
    <xf numFmtId="164" fontId="14" fillId="25" borderId="20" xfId="13" applyNumberFormat="1" applyFont="1" applyFill="1" applyBorder="1" applyAlignment="1">
      <alignment horizontal="right" vertical="center" wrapText="1" indent="1"/>
    </xf>
    <xf numFmtId="164" fontId="41" fillId="25" borderId="38" xfId="22" applyNumberFormat="1" applyFont="1" applyFill="1">
      <alignment horizontal="center" vertical="center"/>
    </xf>
    <xf numFmtId="164" fontId="41" fillId="19" borderId="37" xfId="18" applyNumberFormat="1" applyFont="1" applyFill="1" applyBorder="1">
      <alignment horizontal="center" vertical="center"/>
    </xf>
    <xf numFmtId="0" fontId="26" fillId="0" borderId="27" xfId="13" applyFont="1" applyFill="1" applyBorder="1" applyAlignment="1">
      <alignment horizontal="center" vertical="center" wrapText="1"/>
    </xf>
    <xf numFmtId="164" fontId="27" fillId="19" borderId="38" xfId="19" applyNumberFormat="1" applyFont="1" applyFill="1">
      <alignment horizontal="center" vertical="center"/>
    </xf>
    <xf numFmtId="164" fontId="41" fillId="24" borderId="38" xfId="19" applyNumberFormat="1" applyFont="1" applyFill="1">
      <alignment horizontal="center" vertical="center"/>
    </xf>
    <xf numFmtId="164" fontId="14" fillId="24" borderId="26" xfId="13" applyNumberFormat="1" applyFont="1" applyFill="1" applyBorder="1" applyAlignment="1">
      <alignment horizontal="right" vertical="center" wrapText="1" indent="1"/>
    </xf>
    <xf numFmtId="164" fontId="14" fillId="26" borderId="26" xfId="13" applyNumberFormat="1" applyFont="1" applyFill="1" applyBorder="1" applyAlignment="1">
      <alignment horizontal="right" vertical="center" wrapText="1" indent="1"/>
    </xf>
    <xf numFmtId="164" fontId="41" fillId="26" borderId="38" xfId="19" applyNumberFormat="1" applyFont="1" applyFill="1">
      <alignment horizontal="center" vertical="center"/>
    </xf>
    <xf numFmtId="164" fontId="41" fillId="23" borderId="38" xfId="18" applyNumberFormat="1" applyFont="1" applyFill="1">
      <alignment horizontal="center" vertical="center"/>
    </xf>
    <xf numFmtId="164" fontId="14" fillId="23" borderId="26" xfId="13" applyNumberFormat="1" applyFont="1" applyFill="1" applyBorder="1" applyAlignment="1">
      <alignment horizontal="right" vertical="center" wrapText="1" indent="1"/>
    </xf>
    <xf numFmtId="164" fontId="14" fillId="22" borderId="26" xfId="12" applyFont="1" applyFill="1" applyBorder="1" applyAlignment="1">
      <alignment horizontal="right" vertical="center" indent="1"/>
    </xf>
    <xf numFmtId="164" fontId="14" fillId="27" borderId="26" xfId="12" applyFont="1" applyFill="1" applyBorder="1" applyAlignment="1">
      <alignment horizontal="right" vertical="center" indent="1"/>
    </xf>
    <xf numFmtId="164" fontId="41" fillId="19" borderId="38" xfId="21" applyNumberFormat="1" applyFont="1" applyFill="1">
      <alignment horizontal="center" vertical="center"/>
    </xf>
    <xf numFmtId="164" fontId="41" fillId="26" borderId="38" xfId="22" applyNumberFormat="1" applyFont="1" applyFill="1">
      <alignment horizontal="center" vertical="center"/>
    </xf>
    <xf numFmtId="164" fontId="41" fillId="28" borderId="38" xfId="19" applyNumberFormat="1" applyFont="1" applyFill="1">
      <alignment horizontal="center" vertical="center"/>
    </xf>
    <xf numFmtId="164" fontId="14" fillId="28" borderId="26" xfId="13" applyNumberFormat="1" applyFont="1" applyFill="1" applyBorder="1" applyAlignment="1">
      <alignment horizontal="right" vertical="center" wrapText="1" indent="1"/>
    </xf>
    <xf numFmtId="164" fontId="41" fillId="22" borderId="38" xfId="20" applyNumberFormat="1" applyFont="1" applyFill="1">
      <alignment horizontal="center" vertical="center"/>
    </xf>
    <xf numFmtId="0" fontId="23" fillId="20" borderId="27" xfId="0" applyFont="1" applyFill="1" applyBorder="1" applyAlignment="1">
      <alignment horizontal="center" vertical="center" wrapText="1"/>
    </xf>
    <xf numFmtId="0" fontId="26" fillId="20" borderId="27" xfId="13" applyFont="1" applyFill="1" applyBorder="1" applyAlignment="1">
      <alignment horizontal="center" vertical="center" wrapText="1"/>
    </xf>
    <xf numFmtId="0" fontId="49" fillId="0" borderId="27" xfId="13" applyFont="1" applyFill="1" applyBorder="1" applyAlignment="1">
      <alignment horizontal="center" vertical="center" wrapText="1"/>
    </xf>
    <xf numFmtId="164" fontId="41" fillId="29" borderId="38" xfId="18" applyNumberFormat="1" applyFont="1" applyFill="1">
      <alignment horizontal="center" vertical="center"/>
    </xf>
    <xf numFmtId="164" fontId="14" fillId="29" borderId="26" xfId="13" applyNumberFormat="1" applyFont="1" applyFill="1" applyBorder="1" applyAlignment="1">
      <alignment horizontal="right" vertical="center" wrapText="1" indent="1"/>
    </xf>
    <xf numFmtId="164" fontId="14" fillId="26" borderId="26" xfId="12" applyFont="1" applyFill="1" applyBorder="1" applyAlignment="1">
      <alignment horizontal="right" vertical="center" indent="1"/>
    </xf>
    <xf numFmtId="0" fontId="50" fillId="0" borderId="27" xfId="0" applyFont="1" applyFill="1" applyBorder="1" applyAlignment="1">
      <alignment horizontal="center" vertical="center" wrapText="1"/>
    </xf>
    <xf numFmtId="164" fontId="41" fillId="29" borderId="38" xfId="19" applyNumberFormat="1" applyFont="1" applyFill="1">
      <alignment horizontal="center" vertical="center"/>
    </xf>
    <xf numFmtId="164" fontId="14" fillId="19" borderId="9" xfId="12" applyFont="1" applyFill="1" applyBorder="1" applyAlignment="1">
      <alignment horizontal="right" indent="1"/>
    </xf>
    <xf numFmtId="164" fontId="14" fillId="19" borderId="9" xfId="13" applyNumberFormat="1" applyFont="1" applyFill="1" applyBorder="1" applyAlignment="1">
      <alignment horizontal="right" vertical="center" wrapText="1" indent="1"/>
    </xf>
    <xf numFmtId="0" fontId="26" fillId="0" borderId="10" xfId="13" applyFont="1" applyFill="1" applyBorder="1" applyAlignment="1">
      <alignment horizontal="center" vertical="center" wrapText="1"/>
    </xf>
    <xf numFmtId="164" fontId="14" fillId="19" borderId="9" xfId="12" applyFont="1" applyFill="1" applyBorder="1" applyAlignment="1">
      <alignment horizontal="right" vertical="center" indent="1"/>
    </xf>
    <xf numFmtId="49" fontId="37" fillId="0" borderId="0" xfId="17" applyNumberFormat="1" applyFont="1" applyAlignment="1">
      <alignment horizontal="center" vertical="top"/>
    </xf>
    <xf numFmtId="0" fontId="32" fillId="0" borderId="32" xfId="17" applyFont="1" applyBorder="1" applyAlignment="1">
      <alignment horizontal="right" wrapText="1"/>
    </xf>
    <xf numFmtId="0" fontId="17" fillId="0" borderId="0" xfId="5" applyFont="1" applyFill="1" applyBorder="1">
      <alignment vertical="center"/>
    </xf>
    <xf numFmtId="0" fontId="12" fillId="0" borderId="13" xfId="11" applyFont="1" applyFill="1" applyBorder="1" applyAlignment="1">
      <alignment horizontal="left" vertical="center" wrapText="1" indent="1"/>
    </xf>
    <xf numFmtId="0" fontId="12" fillId="0" borderId="11" xfId="11" applyFont="1" applyFill="1" applyBorder="1" applyAlignment="1">
      <alignment horizontal="left" vertical="center" wrapText="1" indent="1"/>
    </xf>
    <xf numFmtId="0" fontId="15" fillId="0" borderId="7" xfId="11" applyFont="1" applyFill="1" applyBorder="1" applyAlignment="1">
      <alignment horizontal="left" vertical="top" wrapText="1" indent="1"/>
    </xf>
    <xf numFmtId="0" fontId="15" fillId="0" borderId="12" xfId="11" applyFont="1" applyFill="1" applyBorder="1" applyAlignment="1">
      <alignment horizontal="left" vertical="top" wrapText="1" indent="1"/>
    </xf>
    <xf numFmtId="0" fontId="16" fillId="6" borderId="0" xfId="15" applyFont="1" applyFill="1" applyBorder="1" applyAlignment="1">
      <alignment horizontal="center" vertical="center"/>
    </xf>
    <xf numFmtId="0" fontId="18" fillId="0" borderId="0" xfId="5" applyFont="1" applyFill="1" applyBorder="1">
      <alignment vertical="center"/>
    </xf>
    <xf numFmtId="0" fontId="12" fillId="0" borderId="18" xfId="11" applyFont="1" applyFill="1" applyBorder="1" applyAlignment="1">
      <alignment horizontal="left" vertical="center" wrapText="1" indent="1"/>
    </xf>
    <xf numFmtId="0" fontId="12" fillId="0" borderId="19" xfId="11" applyFont="1" applyFill="1" applyBorder="1" applyAlignment="1">
      <alignment horizontal="left" vertical="center" wrapText="1" indent="1"/>
    </xf>
    <xf numFmtId="0" fontId="15" fillId="0" borderId="16" xfId="11" applyFont="1" applyFill="1" applyBorder="1" applyAlignment="1">
      <alignment horizontal="left" vertical="top" wrapText="1" indent="1"/>
    </xf>
    <xf numFmtId="0" fontId="15" fillId="0" borderId="17" xfId="11" applyFont="1" applyFill="1" applyBorder="1" applyAlignment="1">
      <alignment horizontal="left" vertical="top" wrapText="1" indent="1"/>
    </xf>
    <xf numFmtId="0" fontId="20" fillId="0" borderId="0" xfId="5" applyFont="1" applyFill="1" applyBorder="1">
      <alignment vertical="center"/>
    </xf>
    <xf numFmtId="0" fontId="12" fillId="0" borderId="24" xfId="11" applyFont="1" applyFill="1" applyBorder="1" applyAlignment="1">
      <alignment horizontal="left" vertical="center" wrapText="1" indent="1"/>
    </xf>
    <xf numFmtId="0" fontId="12" fillId="0" borderId="25" xfId="11" applyFont="1" applyFill="1" applyBorder="1" applyAlignment="1">
      <alignment horizontal="left" vertical="center" wrapText="1" indent="1"/>
    </xf>
    <xf numFmtId="0" fontId="15" fillId="0" borderId="22" xfId="11" applyFont="1" applyFill="1" applyBorder="1" applyAlignment="1">
      <alignment horizontal="left" vertical="top" wrapText="1" indent="1"/>
    </xf>
    <xf numFmtId="0" fontId="15" fillId="0" borderId="23" xfId="11" applyFont="1" applyFill="1" applyBorder="1" applyAlignment="1">
      <alignment horizontal="left" vertical="top" wrapText="1" indent="1"/>
    </xf>
    <xf numFmtId="0" fontId="19" fillId="0" borderId="0" xfId="5" applyFont="1" applyFill="1" applyBorder="1">
      <alignment vertical="center"/>
    </xf>
    <xf numFmtId="0" fontId="12" fillId="0" borderId="30" xfId="11" applyFont="1" applyFill="1" applyBorder="1" applyAlignment="1">
      <alignment horizontal="left" vertical="center" wrapText="1" indent="1"/>
    </xf>
    <xf numFmtId="0" fontId="12" fillId="0" borderId="31" xfId="11" applyFont="1" applyFill="1" applyBorder="1" applyAlignment="1">
      <alignment horizontal="left" vertical="center" wrapText="1" indent="1"/>
    </xf>
    <xf numFmtId="0" fontId="15" fillId="0" borderId="28" xfId="11" applyFont="1" applyFill="1" applyBorder="1" applyAlignment="1">
      <alignment horizontal="left" vertical="top" wrapText="1" indent="1"/>
    </xf>
    <xf numFmtId="0" fontId="15" fillId="0" borderId="29" xfId="11" applyFont="1" applyFill="1" applyBorder="1" applyAlignment="1">
      <alignment horizontal="left" vertical="top" wrapText="1" indent="1"/>
    </xf>
  </cellXfs>
  <cellStyles count="24">
    <cellStyle name="40% - Accent1" xfId="1" builtinId="31" customBuiltin="1"/>
    <cellStyle name="Accent1" xfId="3" builtinId="29" customBuiltin="1"/>
    <cellStyle name="Accent5" xfId="4" builtinId="45" customBuiltin="1"/>
    <cellStyle name="Banded" xfId="13"/>
    <cellStyle name="Comma" xfId="6" builtinId="3" customBuiltin="1"/>
    <cellStyle name="Comma [0]" xfId="7" builtinId="6" customBuiltin="1"/>
    <cellStyle name="Currency" xfId="8" builtinId="4" customBuiltin="1"/>
    <cellStyle name="Currency [0]" xfId="9" builtinId="7" customBuiltin="1"/>
    <cellStyle name="Day" xfId="12"/>
    <cellStyle name="Day Off" xfId="19"/>
    <cellStyle name="Day Shift" xfId="18"/>
    <cellStyle name="Day/Night Shift" xfId="21"/>
    <cellStyle name="Heading 1" xfId="2" builtinId="16" customBuiltin="1"/>
    <cellStyle name="Heading 2" xfId="15" builtinId="17" customBuiltin="1"/>
    <cellStyle name="Heading 3" xfId="16" builtinId="18" customBuiltin="1"/>
    <cellStyle name="Heading 4" xfId="11" builtinId="19" customBuiltin="1"/>
    <cellStyle name="Holidays" xfId="22"/>
    <cellStyle name="Night Shift" xfId="20"/>
    <cellStyle name="Non Working" xfId="23"/>
    <cellStyle name="Normal" xfId="0" builtinId="0" customBuiltin="1"/>
    <cellStyle name="Normal 2" xfId="17"/>
    <cellStyle name="Percent" xfId="10" builtinId="5" customBuiltin="1"/>
    <cellStyle name="Settings Entry" xfId="14"/>
    <cellStyle name="Title" xfId="5" builtinId="15" customBuiltin="1"/>
  </cellStyles>
  <dxfs count="31">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ill>
        <patternFill>
          <bgColor theme="0"/>
        </patternFill>
      </fill>
      <border>
        <left/>
        <right/>
        <top/>
        <bottom/>
        <vertical/>
        <horizontal/>
      </border>
    </dxf>
    <dxf>
      <fill>
        <patternFill>
          <bgColor theme="0"/>
        </patternFill>
      </fill>
      <border>
        <left/>
        <right/>
        <top/>
        <bottom/>
        <vertical/>
        <horizontal/>
      </border>
    </dxf>
    <dxf>
      <fill>
        <patternFill>
          <bgColor theme="0"/>
        </patternFill>
      </fill>
      <border>
        <left/>
        <right/>
        <top/>
        <bottom/>
        <vertical/>
        <horizontal/>
      </border>
    </dxf>
    <dxf>
      <fill>
        <patternFill>
          <bgColor theme="8" tint="0.79998168889431442"/>
        </patternFill>
      </fill>
    </dxf>
    <dxf>
      <fill>
        <patternFill>
          <bgColor theme="7" tint="0.59996337778862885"/>
        </patternFill>
      </fill>
    </dxf>
    <dxf>
      <fill>
        <patternFill>
          <bgColor theme="5" tint="0.59996337778862885"/>
        </patternFill>
      </fill>
    </dxf>
    <dxf>
      <fill>
        <patternFill>
          <bgColor theme="0" tint="-4.9989318521683403E-2"/>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mruColors>
      <color rgb="FFE749C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trlProps/ctrlProp1.xml><?xml version="1.0" encoding="utf-8"?>
<formControlPr xmlns="http://schemas.microsoft.com/office/spreadsheetml/2009/9/main" objectType="Spin" dx="16" fmlaLink="CalendarYear" max="2999" min="1900" page="10" val="2022"/>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4.jpeg"/></Relationships>
</file>

<file path=xl/drawings/_rels/drawing5.xml.rels><?xml version="1.0" encoding="UTF-8" standalone="yes"?>
<Relationships xmlns="http://schemas.openxmlformats.org/package/2006/relationships"><Relationship Id="rId1" Type="http://schemas.openxmlformats.org/officeDocument/2006/relationships/image" Target="../media/image4.jpeg"/></Relationships>
</file>

<file path=xl/drawings/_rels/drawing6.xml.rels><?xml version="1.0" encoding="UTF-8" standalone="yes"?>
<Relationships xmlns="http://schemas.openxmlformats.org/package/2006/relationships"><Relationship Id="rId1" Type="http://schemas.openxmlformats.org/officeDocument/2006/relationships/image" Target="../media/image4.jpeg"/></Relationships>
</file>

<file path=xl/drawings/_rels/drawing7.xml.rels><?xml version="1.0" encoding="UTF-8" standalone="yes"?>
<Relationships xmlns="http://schemas.openxmlformats.org/package/2006/relationships"><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1" Type="http://schemas.openxmlformats.org/officeDocument/2006/relationships/image" Target="../media/image5.jpeg"/></Relationships>
</file>

<file path=xl/drawings/_rels/drawing9.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27</xdr:col>
          <xdr:colOff>400050</xdr:colOff>
          <xdr:row>0</xdr:row>
          <xdr:rowOff>342900</xdr:rowOff>
        </xdr:from>
        <xdr:to>
          <xdr:col>28</xdr:col>
          <xdr:colOff>142875</xdr:colOff>
          <xdr:row>0</xdr:row>
          <xdr:rowOff>647700</xdr:rowOff>
        </xdr:to>
        <xdr:sp macro="" textlink="">
          <xdr:nvSpPr>
            <xdr:cNvPr id="13313" name="Spinner" descr="Use the spinner button to change calendar year or change the year in cell AE3" hidden="1">
              <a:extLst>
                <a:ext uri="{63B3BB69-23CF-44E3-9099-C40C66FF867C}">
                  <a14:compatExt spid="_x0000_s13313"/>
                </a:ext>
                <a:ext uri="{FF2B5EF4-FFF2-40B4-BE49-F238E27FC236}">
                  <a16:creationId xmlns:a16="http://schemas.microsoft.com/office/drawing/2014/main" xmlns="" id="{00000000-0008-0000-0000-000001340000}"/>
                </a:ext>
              </a:extLst>
            </xdr:cNvPr>
            <xdr:cNvSpPr/>
          </xdr:nvSpPr>
          <xdr:spPr bwMode="auto">
            <a:xfrm>
              <a:off x="0" y="0"/>
              <a:ext cx="0" cy="0"/>
            </a:xfrm>
            <a:prstGeom prst="rect">
              <a:avLst/>
            </a:prstGeom>
            <a:noFill/>
            <a:ln w="9525">
              <a:miter lim="800000"/>
              <a:headEnd/>
              <a:tailEnd/>
            </a:ln>
          </xdr:spPr>
        </xdr:sp>
        <xdr:clientData fPrintsWithSheet="0"/>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6</xdr:col>
      <xdr:colOff>200025</xdr:colOff>
      <xdr:row>1</xdr:row>
      <xdr:rowOff>133350</xdr:rowOff>
    </xdr:from>
    <xdr:to>
      <xdr:col>6</xdr:col>
      <xdr:colOff>1122738</xdr:colOff>
      <xdr:row>1</xdr:row>
      <xdr:rowOff>1056063</xdr:rowOff>
    </xdr:to>
    <xdr:pic>
      <xdr:nvPicPr>
        <xdr:cNvPr id="4" name="Content Placeholder 5">
          <a:extLst>
            <a:ext uri="{FF2B5EF4-FFF2-40B4-BE49-F238E27FC236}">
              <a16:creationId xmlns:a16="http://schemas.microsoft.com/office/drawing/2014/main" xmlns="" id="{00000000-0008-0000-0100-000004000000}"/>
            </a:ext>
          </a:extLst>
        </xdr:cNvPr>
        <xdr:cNvPicPr>
          <a:picLocks noGrp="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57975" y="247650"/>
          <a:ext cx="922713" cy="922713"/>
        </a:xfrm>
        <a:prstGeom prst="rect">
          <a:avLst/>
        </a:prstGeom>
      </xdr:spPr>
    </xdr:pic>
    <xdr:clientData/>
  </xdr:twoCellAnchor>
  <xdr:twoCellAnchor editAs="oneCell">
    <xdr:from>
      <xdr:col>6</xdr:col>
      <xdr:colOff>1257405</xdr:colOff>
      <xdr:row>0</xdr:row>
      <xdr:rowOff>95251</xdr:rowOff>
    </xdr:from>
    <xdr:to>
      <xdr:col>8</xdr:col>
      <xdr:colOff>0</xdr:colOff>
      <xdr:row>1</xdr:row>
      <xdr:rowOff>1209060</xdr:rowOff>
    </xdr:to>
    <xdr:pic>
      <xdr:nvPicPr>
        <xdr:cNvPr id="2" name="Picture 1">
          <a:extLst>
            <a:ext uri="{FF2B5EF4-FFF2-40B4-BE49-F238E27FC236}">
              <a16:creationId xmlns:a16="http://schemas.microsoft.com/office/drawing/2014/main" xmlns="" id="{00000000-0008-0000-0100-000002000000}"/>
            </a:ext>
          </a:extLst>
        </xdr:cNvPr>
        <xdr:cNvPicPr>
          <a:picLocks noChangeAspect="1"/>
        </xdr:cNvPicPr>
      </xdr:nvPicPr>
      <xdr:blipFill>
        <a:blip xmlns:r="http://schemas.openxmlformats.org/officeDocument/2006/relationships" r:embed="rId2"/>
        <a:stretch>
          <a:fillRect/>
        </a:stretch>
      </xdr:blipFill>
      <xdr:spPr>
        <a:xfrm>
          <a:off x="7715355" y="95251"/>
          <a:ext cx="1276245" cy="122810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3" name="Picture 2" descr="Photo collage of word: Winter" title="Header Winter">
          <a:extLst>
            <a:ext uri="{FF2B5EF4-FFF2-40B4-BE49-F238E27FC236}">
              <a16:creationId xmlns:a16="http://schemas.microsoft.com/office/drawing/2014/main" xmlns="" id="{00000000-0008-0000-02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2" name="Picture 1" descr="Photo collage of word: Spring" title="Header Spring">
          <a:extLst>
            <a:ext uri="{FF2B5EF4-FFF2-40B4-BE49-F238E27FC236}">
              <a16:creationId xmlns:a16="http://schemas.microsoft.com/office/drawing/2014/main" xmlns="" id="{00000000-0008-0000-03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Spring" title="Header Spring">
          <a:extLst>
            <a:ext uri="{FF2B5EF4-FFF2-40B4-BE49-F238E27FC236}">
              <a16:creationId xmlns:a16="http://schemas.microsoft.com/office/drawing/2014/main" xmlns="" id="{00000000-0008-0000-0400-000004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Spring" title="Header Spring">
          <a:extLst>
            <a:ext uri="{FF2B5EF4-FFF2-40B4-BE49-F238E27FC236}">
              <a16:creationId xmlns:a16="http://schemas.microsoft.com/office/drawing/2014/main" xmlns="" id="{00000000-0008-0000-0500-000004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3" name="Picture 2" descr="Photo collage of word: Summer" title="Header Summer">
          <a:extLst>
            <a:ext uri="{FF2B5EF4-FFF2-40B4-BE49-F238E27FC236}">
              <a16:creationId xmlns:a16="http://schemas.microsoft.com/office/drawing/2014/main" xmlns="" id="{00000000-0008-0000-06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Summer" title="Header Summer">
          <a:extLst>
            <a:ext uri="{FF2B5EF4-FFF2-40B4-BE49-F238E27FC236}">
              <a16:creationId xmlns:a16="http://schemas.microsoft.com/office/drawing/2014/main" xmlns="" id="{00000000-0008-0000-0700-000004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Summer" title="Header Summer">
          <a:extLst>
            <a:ext uri="{FF2B5EF4-FFF2-40B4-BE49-F238E27FC236}">
              <a16:creationId xmlns:a16="http://schemas.microsoft.com/office/drawing/2014/main" xmlns="" id="{00000000-0008-0000-0800-000004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3" name="Picture 2" descr="Photo collage of word: Fall" title="Header Fall">
          <a:extLst>
            <a:ext uri="{FF2B5EF4-FFF2-40B4-BE49-F238E27FC236}">
              <a16:creationId xmlns:a16="http://schemas.microsoft.com/office/drawing/2014/main" xmlns="" id="{00000000-0008-0000-09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2"/>
        <a:stretch/>
      </xdr:blipFill>
      <xdr:spPr>
        <a:xfrm>
          <a:off x="3924300" y="114300"/>
          <a:ext cx="506730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Fall" title="Header Fall">
          <a:extLst>
            <a:ext uri="{FF2B5EF4-FFF2-40B4-BE49-F238E27FC236}">
              <a16:creationId xmlns:a16="http://schemas.microsoft.com/office/drawing/2014/main" xmlns="" id="{00000000-0008-0000-0A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2"/>
        <a:stretch/>
      </xdr:blipFill>
      <xdr:spPr>
        <a:xfrm>
          <a:off x="3924300" y="114300"/>
          <a:ext cx="5067300" cy="1143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4" name="Picture 3" descr="Photo collage of word: Fall" title="Header Fall">
          <a:extLst>
            <a:ext uri="{FF2B5EF4-FFF2-40B4-BE49-F238E27FC236}">
              <a16:creationId xmlns:a16="http://schemas.microsoft.com/office/drawing/2014/main" xmlns="" id="{00000000-0008-0000-0B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2"/>
        <a:stretch/>
      </xdr:blipFill>
      <xdr:spPr>
        <a:xfrm>
          <a:off x="3924300" y="114300"/>
          <a:ext cx="5067300" cy="1143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4</xdr:col>
      <xdr:colOff>0</xdr:colOff>
      <xdr:row>1</xdr:row>
      <xdr:rowOff>0</xdr:rowOff>
    </xdr:from>
    <xdr:to>
      <xdr:col>8</xdr:col>
      <xdr:colOff>0</xdr:colOff>
      <xdr:row>1</xdr:row>
      <xdr:rowOff>1143000</xdr:rowOff>
    </xdr:to>
    <xdr:pic>
      <xdr:nvPicPr>
        <xdr:cNvPr id="3" name="Picture 2" descr="Photo collage of word: Winter" title="Header Winter">
          <a:extLst>
            <a:ext uri="{FF2B5EF4-FFF2-40B4-BE49-F238E27FC236}">
              <a16:creationId xmlns:a16="http://schemas.microsoft.com/office/drawing/2014/main" xmlns="" id="{00000000-0008-0000-0C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3924300" y="114300"/>
          <a:ext cx="5067300" cy="1143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comments" Target="../comments1.xml"/><Relationship Id="rId4"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1.bin"/><Relationship Id="rId1" Type="http://schemas.openxmlformats.org/officeDocument/2006/relationships/printerSettings" Target="../printerSettings/printerSettings2.bin"/><Relationship Id="rId5" Type="http://schemas.openxmlformats.org/officeDocument/2006/relationships/comments" Target="../comments2.xml"/><Relationship Id="rId4" Type="http://schemas.openxmlformats.org/officeDocument/2006/relationships/vmlDrawing" Target="../drawings/vmlDrawing2.v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3.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7.bin"/><Relationship Id="rId4" Type="http://schemas.openxmlformats.org/officeDocument/2006/relationships/comments" Target="../comments4.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8.bin"/><Relationship Id="rId4" Type="http://schemas.openxmlformats.org/officeDocument/2006/relationships/comments" Target="../comments5.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9.xml"/><Relationship Id="rId1" Type="http://schemas.openxmlformats.org/officeDocument/2006/relationships/printerSettings" Target="../printerSettings/printerSettings9.bin"/><Relationship Id="rId4" Type="http://schemas.openxmlformats.org/officeDocument/2006/relationships/comments" Target="../comments6.x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0.xml"/><Relationship Id="rId1" Type="http://schemas.openxmlformats.org/officeDocument/2006/relationships/printerSettings" Target="../printerSettings/printerSettings10.bin"/><Relationship Id="rId4" Type="http://schemas.openxmlformats.org/officeDocument/2006/relationships/comments" Target="../comments7.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1.bin"/><Relationship Id="rId4" Type="http://schemas.openxmlformats.org/officeDocument/2006/relationships/comments" Target="../comments8.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2.xml"/><Relationship Id="rId1" Type="http://schemas.openxmlformats.org/officeDocument/2006/relationships/printerSettings" Target="../printerSettings/printerSettings12.bin"/><Relationship Id="rId4" Type="http://schemas.openxmlformats.org/officeDocument/2006/relationships/comments" Target="../comments9.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3.xml"/><Relationship Id="rId1" Type="http://schemas.openxmlformats.org/officeDocument/2006/relationships/printerSettings" Target="../printerSettings/printerSettings13.bin"/><Relationship Id="rId4" Type="http://schemas.openxmlformats.org/officeDocument/2006/relationships/comments" Target="../comments10.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AG32"/>
  <sheetViews>
    <sheetView showGridLines="0" tabSelected="1" zoomScale="130" zoomScaleNormal="130" workbookViewId="0">
      <selection activeCell="Z28" sqref="Z28"/>
    </sheetView>
  </sheetViews>
  <sheetFormatPr defaultColWidth="0" defaultRowHeight="26.1" customHeight="1" x14ac:dyDescent="0.2"/>
  <cols>
    <col min="1" max="1" width="2" style="82" customWidth="1"/>
    <col min="2" max="8" width="5.375" style="82" customWidth="1"/>
    <col min="9" max="9" width="4.875" style="82" customWidth="1"/>
    <col min="10" max="16" width="5.375" style="82" customWidth="1"/>
    <col min="17" max="17" width="4.875" style="82" customWidth="1"/>
    <col min="18" max="24" width="5.375" style="82" customWidth="1"/>
    <col min="25" max="25" width="4.875" style="82" customWidth="1"/>
    <col min="26" max="32" width="5.375" style="82" customWidth="1"/>
    <col min="33" max="33" width="2" style="82" customWidth="1"/>
    <col min="34" max="16384" width="3.25" style="82" hidden="1"/>
  </cols>
  <sheetData>
    <row r="1" spans="2:33" s="53" customFormat="1" ht="65.25" customHeight="1" x14ac:dyDescent="0.75">
      <c r="B1" s="48" t="s">
        <v>8</v>
      </c>
      <c r="C1" s="49"/>
      <c r="D1" s="49"/>
      <c r="E1" s="49"/>
      <c r="F1" s="49"/>
      <c r="G1" s="49"/>
      <c r="H1" s="49"/>
      <c r="I1" s="49"/>
      <c r="J1" s="49"/>
      <c r="K1" s="49"/>
      <c r="L1" s="50"/>
      <c r="M1" s="51"/>
      <c r="N1" s="51"/>
      <c r="O1" s="51"/>
      <c r="P1" s="51"/>
      <c r="Q1" s="51"/>
      <c r="R1" s="51"/>
      <c r="S1" s="51"/>
      <c r="T1" s="51"/>
      <c r="U1" s="51"/>
      <c r="V1" s="51"/>
      <c r="W1" s="51"/>
      <c r="X1" s="51"/>
      <c r="Y1" s="51"/>
      <c r="Z1" s="51"/>
      <c r="AA1" s="51"/>
      <c r="AB1" s="51"/>
      <c r="AC1" s="158">
        <v>2022</v>
      </c>
      <c r="AD1" s="158"/>
      <c r="AE1" s="158"/>
      <c r="AF1" s="158"/>
      <c r="AG1" s="52"/>
    </row>
    <row r="2" spans="2:33" s="53" customFormat="1" ht="14.1" customHeight="1" x14ac:dyDescent="0.3">
      <c r="B2" s="54"/>
      <c r="C2" s="55"/>
      <c r="D2" s="55"/>
      <c r="E2" s="55"/>
      <c r="F2" s="55"/>
      <c r="G2" s="55"/>
      <c r="H2" s="55"/>
      <c r="I2" s="55"/>
      <c r="J2" s="55"/>
      <c r="K2" s="55"/>
      <c r="L2" s="56"/>
      <c r="M2" s="57"/>
      <c r="N2" s="57"/>
      <c r="O2" s="57"/>
      <c r="P2" s="57"/>
      <c r="Q2" s="57"/>
      <c r="R2" s="57"/>
      <c r="S2" s="57"/>
      <c r="T2" s="57"/>
      <c r="U2" s="57"/>
      <c r="V2" s="57"/>
      <c r="W2" s="57"/>
      <c r="X2" s="57"/>
      <c r="Y2" s="57"/>
      <c r="Z2" s="57"/>
      <c r="AA2" s="57"/>
      <c r="AB2" s="57"/>
      <c r="AC2" s="57"/>
      <c r="AD2" s="57"/>
      <c r="AE2" s="57"/>
      <c r="AF2" s="57"/>
      <c r="AG2" s="57"/>
    </row>
    <row r="3" spans="2:33" s="57" customFormat="1" ht="24" customHeight="1" x14ac:dyDescent="0.3">
      <c r="B3" s="58"/>
      <c r="C3" s="59"/>
      <c r="H3" s="60"/>
      <c r="I3" s="59"/>
      <c r="L3" s="61"/>
      <c r="N3" s="62"/>
      <c r="O3" s="59"/>
    </row>
    <row r="4" spans="2:33" s="53" customFormat="1" ht="26.1" customHeight="1" x14ac:dyDescent="0.3">
      <c r="B4" s="54"/>
      <c r="C4" s="55"/>
      <c r="D4" s="55"/>
      <c r="E4" s="55"/>
      <c r="F4" s="55"/>
      <c r="G4" s="55"/>
      <c r="H4" s="55"/>
      <c r="I4" s="55"/>
      <c r="J4" s="55"/>
      <c r="K4" s="55"/>
      <c r="L4" s="56"/>
      <c r="M4" s="57"/>
      <c r="N4" s="57"/>
      <c r="O4" s="57"/>
      <c r="P4" s="57"/>
      <c r="Q4" s="57"/>
      <c r="R4" s="57"/>
      <c r="S4" s="57"/>
      <c r="T4" s="57"/>
      <c r="U4" s="57"/>
      <c r="V4" s="57"/>
      <c r="W4" s="57"/>
      <c r="X4" s="57"/>
      <c r="Y4" s="57"/>
      <c r="Z4" s="57"/>
      <c r="AA4" s="57"/>
      <c r="AB4" s="57"/>
      <c r="AC4" s="57"/>
      <c r="AD4" s="57"/>
      <c r="AE4" s="57"/>
      <c r="AF4" s="57"/>
      <c r="AG4" s="57"/>
    </row>
    <row r="5" spans="2:33" s="63" customFormat="1" ht="25.5" customHeight="1" x14ac:dyDescent="0.3">
      <c r="B5" s="157" t="s">
        <v>9</v>
      </c>
      <c r="C5" s="157"/>
      <c r="D5" s="157"/>
      <c r="E5" s="157"/>
      <c r="F5" s="157"/>
      <c r="G5" s="157"/>
      <c r="H5" s="157"/>
      <c r="J5" s="157" t="s">
        <v>10</v>
      </c>
      <c r="K5" s="157"/>
      <c r="L5" s="157"/>
      <c r="M5" s="157"/>
      <c r="N5" s="157"/>
      <c r="O5" s="157"/>
      <c r="P5" s="157"/>
      <c r="R5" s="157" t="s">
        <v>11</v>
      </c>
      <c r="S5" s="157"/>
      <c r="T5" s="157"/>
      <c r="U5" s="157"/>
      <c r="V5" s="157"/>
      <c r="W5" s="157"/>
      <c r="X5" s="157"/>
      <c r="Z5" s="157" t="s">
        <v>12</v>
      </c>
      <c r="AA5" s="157"/>
      <c r="AB5" s="157"/>
      <c r="AC5" s="157"/>
      <c r="AD5" s="157"/>
      <c r="AE5" s="157"/>
      <c r="AF5" s="157"/>
    </row>
    <row r="6" spans="2:33" s="67" customFormat="1" ht="26.1" customHeight="1" x14ac:dyDescent="0.25">
      <c r="B6" s="64" t="s">
        <v>13</v>
      </c>
      <c r="C6" s="65" t="s">
        <v>14</v>
      </c>
      <c r="D6" s="65" t="s">
        <v>15</v>
      </c>
      <c r="E6" s="65" t="s">
        <v>16</v>
      </c>
      <c r="F6" s="65" t="s">
        <v>17</v>
      </c>
      <c r="G6" s="65" t="s">
        <v>18</v>
      </c>
      <c r="H6" s="66" t="s">
        <v>19</v>
      </c>
      <c r="J6" s="64" t="s">
        <v>13</v>
      </c>
      <c r="K6" s="65" t="s">
        <v>14</v>
      </c>
      <c r="L6" s="65" t="s">
        <v>15</v>
      </c>
      <c r="M6" s="65" t="s">
        <v>16</v>
      </c>
      <c r="N6" s="65" t="s">
        <v>17</v>
      </c>
      <c r="O6" s="65" t="s">
        <v>18</v>
      </c>
      <c r="P6" s="66" t="s">
        <v>19</v>
      </c>
      <c r="R6" s="64" t="s">
        <v>13</v>
      </c>
      <c r="S6" s="65" t="s">
        <v>14</v>
      </c>
      <c r="T6" s="65" t="s">
        <v>15</v>
      </c>
      <c r="U6" s="65" t="s">
        <v>16</v>
      </c>
      <c r="V6" s="65" t="s">
        <v>17</v>
      </c>
      <c r="W6" s="65" t="s">
        <v>18</v>
      </c>
      <c r="X6" s="66" t="s">
        <v>19</v>
      </c>
      <c r="Z6" s="64" t="s">
        <v>13</v>
      </c>
      <c r="AA6" s="65" t="s">
        <v>14</v>
      </c>
      <c r="AB6" s="65" t="s">
        <v>15</v>
      </c>
      <c r="AC6" s="65" t="s">
        <v>16</v>
      </c>
      <c r="AD6" s="65" t="s">
        <v>17</v>
      </c>
      <c r="AE6" s="65" t="s">
        <v>18</v>
      </c>
      <c r="AF6" s="66" t="s">
        <v>19</v>
      </c>
    </row>
    <row r="7" spans="2:33" s="71" customFormat="1" ht="26.1" customHeight="1" x14ac:dyDescent="0.3">
      <c r="B7" s="68" t="str">
        <f>IF(DAY(JanSun1)=1,"",IF(AND(YEAR(JanSun1+1)=CalendarYear,MONTH(JanSun1+1)=1),JanSun1+1,""))</f>
        <v/>
      </c>
      <c r="C7" s="68" t="str">
        <f>IF(DAY(JanSun1)=1,"",IF(AND(YEAR(JanSun1+2)=CalendarYear,MONTH(JanSun1+2)=1),JanSun1+2,""))</f>
        <v/>
      </c>
      <c r="D7" s="69" t="str">
        <f>IF(DAY(JanSun1)=1,"",IF(AND(YEAR(JanSun1+3)=CalendarYear,MONTH(JanSun1+3)=1),JanSun1+3,""))</f>
        <v/>
      </c>
      <c r="E7" s="69" t="str">
        <f>IF(DAY(JanSun1)=1,"",IF(AND(YEAR(JanSun1+4)=CalendarYear,MONTH(JanSun1+4)=1),JanSun1+4,""))</f>
        <v/>
      </c>
      <c r="F7" s="69" t="str">
        <f>IF(DAY(JanSun1)=1,"",IF(AND(YEAR(JanSun1+5)=CalendarYear,MONTH(JanSun1+5)=1),JanSun1+5,""))</f>
        <v/>
      </c>
      <c r="G7" s="70" t="str">
        <f>IF(DAY(JanSun1)=1,"",IF(AND(YEAR(JanSun1+6)=CalendarYear,MONTH(JanSun1+6)=1),JanSun1+6,""))</f>
        <v/>
      </c>
      <c r="H7" s="95">
        <f>IF(DAY(JanSun1)=1,IF(AND(YEAR(JanSun1)=CalendarYear,MONTH(JanSun1)=1),JanSun1,""),IF(AND(YEAR(JanSun1+7)=CalendarYear,MONTH(JanSun1+7)=1),JanSun1+7,""))</f>
        <v>44562</v>
      </c>
      <c r="J7" s="68" t="str">
        <f>IF(DAY(FebSun1)=1,"",IF(AND(YEAR(FebSun1+1)=CalendarYear,MONTH(FebSun1+1)=2),FebSun1+1,""))</f>
        <v/>
      </c>
      <c r="K7" s="68" t="str">
        <f>IF(DAY(FebSun1)=1,"",IF(AND(YEAR(FebSun1+2)=CalendarYear,MONTH(FebSun1+2)=2),FebSun1+2,""))</f>
        <v/>
      </c>
      <c r="L7" s="69">
        <f>IF(DAY(FebSun1)=1,"",IF(AND(YEAR(FebSun1+3)=CalendarYear,MONTH(FebSun1+3)=2),FebSun1+3,""))</f>
        <v>44593</v>
      </c>
      <c r="M7" s="69">
        <f>IF(DAY(FebSun1)=1,"",IF(AND(YEAR(FebSun1+4)=CalendarYear,MONTH(FebSun1+4)=2),FebSun1+4,""))</f>
        <v>44594</v>
      </c>
      <c r="N7" s="69">
        <f>IF(DAY(FebSun1)=1,"",IF(AND(YEAR(FebSun1+5)=CalendarYear,MONTH(FebSun1+5)=2),FebSun1+5,""))</f>
        <v>44595</v>
      </c>
      <c r="O7" s="70">
        <f>IF(DAY(FebSun1)=1,"",IF(AND(YEAR(FebSun1+6)=CalendarYear,MONTH(FebSun1+6)=2),FebSun1+6,""))</f>
        <v>44596</v>
      </c>
      <c r="P7" s="70">
        <f>IF(DAY(FebSun1)=1,IF(AND(YEAR(FebSun1)=CalendarYear,MONTH(FebSun1)=2),FebSun1,""),IF(AND(YEAR(FebSun1+7)=CalendarYear,MONTH(FebSun1+7)=2),FebSun1+7,""))</f>
        <v>44597</v>
      </c>
      <c r="R7" s="68" t="str">
        <f>IF(DAY(MarSun1)=1,"",IF(AND(YEAR(MarSun1+1)=CalendarYear,MONTH(MarSun1+1)=3),MarSun1+1,""))</f>
        <v/>
      </c>
      <c r="S7" s="68" t="str">
        <f>IF(DAY(MarSun1)=1,"",IF(AND(YEAR(MarSun1+2)=CalendarYear,MONTH(MarSun1+2)=3),MarSun1+2,""))</f>
        <v/>
      </c>
      <c r="T7" s="69">
        <f>IF(DAY(MarSun1)=1,"",IF(AND(YEAR(MarSun1+3)=CalendarYear,MONTH(MarSun1+3)=3),MarSun1+3,""))</f>
        <v>44621</v>
      </c>
      <c r="U7" s="69">
        <f>IF(DAY(MarSun1)=1,"",IF(AND(YEAR(MarSun1+4)=CalendarYear,MONTH(MarSun1+4)=3),MarSun1+4,""))</f>
        <v>44622</v>
      </c>
      <c r="V7" s="69">
        <f>IF(DAY(MarSun1)=1,"",IF(AND(YEAR(MarSun1+5)=CalendarYear,MONTH(MarSun1+5)=3),MarSun1+5,""))</f>
        <v>44623</v>
      </c>
      <c r="W7" s="70">
        <f>IF(DAY(MarSun1)=1,"",IF(AND(YEAR(MarSun1+6)=CalendarYear,MONTH(MarSun1+6)=3),MarSun1+6,""))</f>
        <v>44624</v>
      </c>
      <c r="X7" s="70">
        <f>IF(DAY(MarSun1)=1,IF(AND(YEAR(MarSun1)=CalendarYear,MONTH(MarSun1)=3),MarSun1,""),IF(AND(YEAR(MarSun1+7)=CalendarYear,MONTH(MarSun1+7)=3),MarSun1+7,""))</f>
        <v>44625</v>
      </c>
      <c r="Z7" s="68" t="str">
        <f>IF(DAY(AprSun1)=1,"",IF(AND(YEAR(AprSun1+1)=CalendarYear,MONTH(AprSun1+1)=4),AprSun1+1,""))</f>
        <v/>
      </c>
      <c r="AA7" s="68" t="str">
        <f>IF(DAY(AprSun1)=1,"",IF(AND(YEAR(AprSun1+2)=CalendarYear,MONTH(AprSun1+2)=4),AprSun1+2,""))</f>
        <v/>
      </c>
      <c r="AB7" s="69" t="str">
        <f>IF(DAY(AprSun1)=1,"",IF(AND(YEAR(AprSun1+3)=CalendarYear,MONTH(AprSun1+3)=4),AprSun1+3,""))</f>
        <v/>
      </c>
      <c r="AC7" s="69" t="str">
        <f>IF(DAY(AprSun1)=1,"",IF(AND(YEAR(AprSun1+4)=CalendarYear,MONTH(AprSun1+4)=4),AprSun1+4,""))</f>
        <v/>
      </c>
      <c r="AD7" s="69" t="str">
        <f>IF(DAY(AprSun1)=1,"",IF(AND(YEAR(AprSun1+5)=CalendarYear,MONTH(AprSun1+5)=4),AprSun1+5,""))</f>
        <v/>
      </c>
      <c r="AE7" s="70">
        <f>IF(DAY(AprSun1)=1,"",IF(AND(YEAR(AprSun1+6)=CalendarYear,MONTH(AprSun1+6)=4),AprSun1+6,""))</f>
        <v>44652</v>
      </c>
      <c r="AF7" s="70">
        <f>IF(DAY(AprSun1)=1,IF(AND(YEAR(AprSun1)=CalendarYear,MONTH(AprSun1)=4),AprSun1,""),IF(AND(YEAR(AprSun1+7)=CalendarYear,MONTH(AprSun1+7)=4),AprSun1+7,""))</f>
        <v>44653</v>
      </c>
    </row>
    <row r="8" spans="2:33" s="71" customFormat="1" ht="26.1" customHeight="1" x14ac:dyDescent="0.3">
      <c r="B8" s="72">
        <f>IF(DAY(JanSun1)=1,IF(AND(YEAR(JanSun1+1)=CalendarYear,MONTH(JanSun1+1)=1),JanSun1+1,""),IF(AND(YEAR(JanSun1+8)=CalendarYear,MONTH(JanSun1+8)=1),JanSun1+8,""))</f>
        <v>44563</v>
      </c>
      <c r="C8" s="72">
        <f>IF(DAY(JanSun1)=1,IF(AND(YEAR(JanSun1+2)=CalendarYear,MONTH(JanSun1+2)=1),JanSun1+2,""),IF(AND(YEAR(JanSun1+9)=CalendarYear,MONTH(JanSun1+9)=1),JanSun1+9,""))</f>
        <v>44564</v>
      </c>
      <c r="D8" s="72">
        <f>IF(DAY(JanSun1)=1,IF(AND(YEAR(JanSun1+3)=CalendarYear,MONTH(JanSun1+3)=1),JanSun1+3,""),IF(AND(YEAR(JanSun1+10)=CalendarYear,MONTH(JanSun1+10)=1),JanSun1+10,""))</f>
        <v>44565</v>
      </c>
      <c r="E8" s="73">
        <f>IF(DAY(JanSun1)=1,IF(AND(YEAR(JanSun1+4)=CalendarYear,MONTH(JanSun1+4)=1),JanSun1+4,""),IF(AND(YEAR(JanSun1+11)=CalendarYear,MONTH(JanSun1+11)=1),JanSun1+11,""))</f>
        <v>44566</v>
      </c>
      <c r="F8" s="73">
        <f>IF(DAY(JanSun1)=1,IF(AND(YEAR(JanSun1+5)=CalendarYear,MONTH(JanSun1+5)=1),JanSun1+5,""),IF(AND(YEAR(JanSun1+12)=CalendarYear,MONTH(JanSun1+12)=1),JanSun1+12,""))</f>
        <v>44567</v>
      </c>
      <c r="G8" s="74">
        <f>IF(DAY(JanSun1)=1,IF(AND(YEAR(JanSun1+6)=CalendarYear,MONTH(JanSun1+6)=1),JanSun1+6,""),IF(AND(YEAR(JanSun1+13)=CalendarYear,MONTH(JanSun1+13)=1),JanSun1+13,""))</f>
        <v>44568</v>
      </c>
      <c r="H8" s="74">
        <f>IF(DAY(JanSun1)=1,IF(AND(YEAR(JanSun1+7)=CalendarYear,MONTH(JanSun1+7)=1),JanSun1+7,""),IF(AND(YEAR(JanSun1+14)=CalendarYear,MONTH(JanSun1+14)=1),JanSun1+14,""))</f>
        <v>44569</v>
      </c>
      <c r="J8" s="72">
        <f>IF(DAY(FebSun1)=1,IF(AND(YEAR(FebSun1+1)=CalendarYear,MONTH(FebSun1+1)=2),FebSun1+1,""),IF(AND(YEAR(FebSun1+8)=CalendarYear,MONTH(FebSun1+8)=2),FebSun1+8,""))</f>
        <v>44598</v>
      </c>
      <c r="K8" s="72">
        <f>IF(DAY(FebSun1)=1,IF(AND(YEAR(FebSun1+2)=CalendarYear,MONTH(FebSun1+2)=2),FebSun1+2,""),IF(AND(YEAR(FebSun1+9)=CalendarYear,MONTH(FebSun1+9)=2),FebSun1+9,""))</f>
        <v>44599</v>
      </c>
      <c r="L8" s="72">
        <f>IF(DAY(FebSun1)=1,IF(AND(YEAR(FebSun1+3)=CalendarYear,MONTH(FebSun1+3)=2),FebSun1+3,""),IF(AND(YEAR(FebSun1+10)=CalendarYear,MONTH(FebSun1+10)=2),FebSun1+10,""))</f>
        <v>44600</v>
      </c>
      <c r="M8" s="73">
        <f>IF(DAY(FebSun1)=1,IF(AND(YEAR(FebSun1+4)=CalendarYear,MONTH(FebSun1+4)=2),FebSun1+4,""),IF(AND(YEAR(FebSun1+11)=CalendarYear,MONTH(FebSun1+11)=2),FebSun1+11,""))</f>
        <v>44601</v>
      </c>
      <c r="N8" s="73">
        <f>IF(DAY(FebSun1)=1,IF(AND(YEAR(FebSun1+5)=CalendarYear,MONTH(FebSun1+5)=2),FebSun1+5,""),IF(AND(YEAR(FebSun1+12)=CalendarYear,MONTH(FebSun1+12)=2),FebSun1+12,""))</f>
        <v>44602</v>
      </c>
      <c r="O8" s="74">
        <f>IF(DAY(FebSun1)=1,IF(AND(YEAR(FebSun1+6)=CalendarYear,MONTH(FebSun1+6)=2),FebSun1+6,""),IF(AND(YEAR(FebSun1+13)=CalendarYear,MONTH(FebSun1+13)=2),FebSun1+13,""))</f>
        <v>44603</v>
      </c>
      <c r="P8" s="74">
        <f>IF(DAY(FebSun1)=1,IF(AND(YEAR(FebSun1+7)=CalendarYear,MONTH(FebSun1+7)=2),FebSun1+7,""),IF(AND(YEAR(FebSun1+14)=CalendarYear,MONTH(FebSun1+14)=2),FebSun1+14,""))</f>
        <v>44604</v>
      </c>
      <c r="R8" s="72">
        <f>IF(DAY(MarSun1)=1,IF(AND(YEAR(MarSun1+1)=CalendarYear,MONTH(MarSun1+1)=3),MarSun1+1,""),IF(AND(YEAR(MarSun1+8)=CalendarYear,MONTH(MarSun1+8)=3),MarSun1+8,""))</f>
        <v>44626</v>
      </c>
      <c r="S8" s="72">
        <f>IF(DAY(MarSun1)=1,IF(AND(YEAR(MarSun1+2)=CalendarYear,MONTH(MarSun1+2)=3),MarSun1+2,""),IF(AND(YEAR(MarSun1+9)=CalendarYear,MONTH(MarSun1+9)=3),MarSun1+9,""))</f>
        <v>44627</v>
      </c>
      <c r="T8" s="72">
        <f>IF(DAY(MarSun1)=1,IF(AND(YEAR(MarSun1+3)=CalendarYear,MONTH(MarSun1+3)=3),MarSun1+3,""),IF(AND(YEAR(MarSun1+10)=CalendarYear,MONTH(MarSun1+10)=3),MarSun1+10,""))</f>
        <v>44628</v>
      </c>
      <c r="U8" s="73">
        <f>IF(DAY(MarSun1)=1,IF(AND(YEAR(MarSun1+4)=CalendarYear,MONTH(MarSun1+4)=3),MarSun1+4,""),IF(AND(YEAR(MarSun1+11)=CalendarYear,MONTH(MarSun1+11)=3),MarSun1+11,""))</f>
        <v>44629</v>
      </c>
      <c r="V8" s="73">
        <f>IF(DAY(MarSun1)=1,IF(AND(YEAR(MarSun1+5)=CalendarYear,MONTH(MarSun1+5)=3),MarSun1+5,""),IF(AND(YEAR(MarSun1+12)=CalendarYear,MONTH(MarSun1+12)=3),MarSun1+12,""))</f>
        <v>44630</v>
      </c>
      <c r="W8" s="74">
        <f>IF(DAY(MarSun1)=1,IF(AND(YEAR(MarSun1+6)=CalendarYear,MONTH(MarSun1+6)=3),MarSun1+6,""),IF(AND(YEAR(MarSun1+13)=CalendarYear,MONTH(MarSun1+13)=3),MarSun1+13,""))</f>
        <v>44631</v>
      </c>
      <c r="X8" s="74">
        <f>IF(DAY(MarSun1)=1,IF(AND(YEAR(MarSun1+7)=CalendarYear,MONTH(MarSun1+7)=3),MarSun1+7,""),IF(AND(YEAR(MarSun1+14)=CalendarYear,MONTH(MarSun1+14)=3),MarSun1+14,""))</f>
        <v>44632</v>
      </c>
      <c r="Z8" s="72">
        <f>IF(DAY(AprSun1)=1,IF(AND(YEAR(AprSun1+1)=CalendarYear,MONTH(AprSun1+1)=4),AprSun1+1,""),IF(AND(YEAR(AprSun1+8)=CalendarYear,MONTH(AprSun1+8)=4),AprSun1+8,""))</f>
        <v>44654</v>
      </c>
      <c r="AA8" s="72">
        <f>IF(DAY(AprSun1)=1,IF(AND(YEAR(AprSun1+2)=CalendarYear,MONTH(AprSun1+2)=4),AprSun1+2,""),IF(AND(YEAR(AprSun1+9)=CalendarYear,MONTH(AprSun1+9)=4),AprSun1+9,""))</f>
        <v>44655</v>
      </c>
      <c r="AB8" s="72">
        <f>IF(DAY(AprSun1)=1,IF(AND(YEAR(AprSun1+3)=CalendarYear,MONTH(AprSun1+3)=4),AprSun1+3,""),IF(AND(YEAR(AprSun1+10)=CalendarYear,MONTH(AprSun1+10)=4),AprSun1+10,""))</f>
        <v>44656</v>
      </c>
      <c r="AC8" s="73">
        <f>IF(DAY(AprSun1)=1,IF(AND(YEAR(AprSun1+4)=CalendarYear,MONTH(AprSun1+4)=4),AprSun1+4,""),IF(AND(YEAR(AprSun1+11)=CalendarYear,MONTH(AprSun1+11)=4),AprSun1+11,""))</f>
        <v>44657</v>
      </c>
      <c r="AD8" s="73">
        <f>IF(DAY(AprSun1)=1,IF(AND(YEAR(AprSun1+5)=CalendarYear,MONTH(AprSun1+5)=4),AprSun1+5,""),IF(AND(YEAR(AprSun1+12)=CalendarYear,MONTH(AprSun1+12)=4),AprSun1+12,""))</f>
        <v>44658</v>
      </c>
      <c r="AE8" s="74">
        <f>IF(DAY(AprSun1)=1,IF(AND(YEAR(AprSun1+6)=CalendarYear,MONTH(AprSun1+6)=4),AprSun1+6,""),IF(AND(YEAR(AprSun1+13)=CalendarYear,MONTH(AprSun1+13)=4),AprSun1+13,""))</f>
        <v>44659</v>
      </c>
      <c r="AF8" s="74">
        <f>IF(DAY(AprSun1)=1,IF(AND(YEAR(AprSun1+7)=CalendarYear,MONTH(AprSun1+7)=4),AprSun1+7,""),IF(AND(YEAR(AprSun1+14)=CalendarYear,MONTH(AprSun1+14)=4),AprSun1+14,""))</f>
        <v>44660</v>
      </c>
    </row>
    <row r="9" spans="2:33" s="71" customFormat="1" ht="26.1" customHeight="1" x14ac:dyDescent="0.3">
      <c r="B9" s="73">
        <f>IF(DAY(JanSun1)=1,IF(AND(YEAR(JanSun1+8)=CalendarYear,MONTH(JanSun1+8)=1),JanSun1+8,""),IF(AND(YEAR(JanSun1+15)=CalendarYear,MONTH(JanSun1+15)=1),JanSun1+15,""))</f>
        <v>44570</v>
      </c>
      <c r="C9" s="73">
        <f>IF(DAY(JanSun1)=1,IF(AND(YEAR(JanSun1+9)=CalendarYear,MONTH(JanSun1+9)=1),JanSun1+9,""),IF(AND(YEAR(JanSun1+16)=CalendarYear,MONTH(JanSun1+16)=1),JanSun1+16,""))</f>
        <v>44571</v>
      </c>
      <c r="D9" s="72">
        <f>IF(DAY(JanSun1)=1,IF(AND(YEAR(JanSun1+10)=CalendarYear,MONTH(JanSun1+10)=1),JanSun1+10,""),IF(AND(YEAR(JanSun1+17)=CalendarYear,MONTH(JanSun1+17)=1),JanSun1+17,""))</f>
        <v>44572</v>
      </c>
      <c r="E9" s="72">
        <f>IF(DAY(JanSun1)=1,IF(AND(YEAR(JanSun1+11)=CalendarYear,MONTH(JanSun1+11)=1),JanSun1+11,""),IF(AND(YEAR(JanSun1+18)=CalendarYear,MONTH(JanSun1+18)=1),JanSun1+18,""))</f>
        <v>44573</v>
      </c>
      <c r="F9" s="75">
        <f>IF(DAY(JanSun1)=1,IF(AND(YEAR(JanSun1+12)=CalendarYear,MONTH(JanSun1+12)=1),JanSun1+12,""),IF(AND(YEAR(JanSun1+19)=CalendarYear,MONTH(JanSun1+19)=1),JanSun1+19,""))</f>
        <v>44574</v>
      </c>
      <c r="G9" s="75">
        <f>IF(DAY(JanSun1)=1,IF(AND(YEAR(JanSun1+13)=CalendarYear,MONTH(JanSun1+13)=1),JanSun1+13,""),IF(AND(YEAR(JanSun1+20)=CalendarYear,MONTH(JanSun1+20)=1),JanSun1+20,""))</f>
        <v>44575</v>
      </c>
      <c r="H9" s="73">
        <f>IF(DAY(JanSun1)=1,IF(AND(YEAR(JanSun1+14)=CalendarYear,MONTH(JanSun1+14)=1),JanSun1+14,""),IF(AND(YEAR(JanSun1+21)=CalendarYear,MONTH(JanSun1+21)=1),JanSun1+21,""))</f>
        <v>44576</v>
      </c>
      <c r="J9" s="73">
        <f>IF(DAY(FebSun1)=1,IF(AND(YEAR(FebSun1+8)=CalendarYear,MONTH(FebSun1+8)=2),FebSun1+8,""),IF(AND(YEAR(FebSun1+15)=CalendarYear,MONTH(FebSun1+15)=2),FebSun1+15,""))</f>
        <v>44605</v>
      </c>
      <c r="K9" s="73">
        <f>IF(DAY(FebSun1)=1,IF(AND(YEAR(FebSun1+9)=CalendarYear,MONTH(FebSun1+9)=2),FebSun1+9,""),IF(AND(YEAR(FebSun1+16)=CalendarYear,MONTH(FebSun1+16)=2),FebSun1+16,""))</f>
        <v>44606</v>
      </c>
      <c r="L9" s="72">
        <f>IF(DAY(FebSun1)=1,IF(AND(YEAR(FebSun1+10)=CalendarYear,MONTH(FebSun1+10)=2),FebSun1+10,""),IF(AND(YEAR(FebSun1+17)=CalendarYear,MONTH(FebSun1+17)=2),FebSun1+17,""))</f>
        <v>44607</v>
      </c>
      <c r="M9" s="72">
        <f>IF(DAY(FebSun1)=1,IF(AND(YEAR(FebSun1+11)=CalendarYear,MONTH(FebSun1+11)=2),FebSun1+11,""),IF(AND(YEAR(FebSun1+18)=CalendarYear,MONTH(FebSun1+18)=2),FebSun1+18,""))</f>
        <v>44608</v>
      </c>
      <c r="N9" s="75">
        <f>IF(DAY(FebSun1)=1,IF(AND(YEAR(FebSun1+12)=CalendarYear,MONTH(FebSun1+12)=2),FebSun1+12,""),IF(AND(YEAR(FebSun1+19)=CalendarYear,MONTH(FebSun1+19)=2),FebSun1+19,""))</f>
        <v>44609</v>
      </c>
      <c r="O9" s="75">
        <f>IF(DAY(FebSun1)=1,IF(AND(YEAR(FebSun1+13)=CalendarYear,MONTH(FebSun1+13)=2),FebSun1+13,""),IF(AND(YEAR(FebSun1+20)=CalendarYear,MONTH(FebSun1+20)=2),FebSun1+20,""))</f>
        <v>44610</v>
      </c>
      <c r="P9" s="73">
        <f>IF(DAY(FebSun1)=1,IF(AND(YEAR(FebSun1+14)=CalendarYear,MONTH(FebSun1+14)=2),FebSun1+14,""),IF(AND(YEAR(FebSun1+21)=CalendarYear,MONTH(FebSun1+21)=2),FebSun1+21,""))</f>
        <v>44611</v>
      </c>
      <c r="R9" s="73">
        <f>IF(DAY(MarSun1)=1,IF(AND(YEAR(MarSun1+8)=CalendarYear,MONTH(MarSun1+8)=3),MarSun1+8,""),IF(AND(YEAR(MarSun1+15)=CalendarYear,MONTH(MarSun1+15)=3),MarSun1+15,""))</f>
        <v>44633</v>
      </c>
      <c r="S9" s="73">
        <f>IF(DAY(MarSun1)=1,IF(AND(YEAR(MarSun1+9)=CalendarYear,MONTH(MarSun1+9)=3),MarSun1+9,""),IF(AND(YEAR(MarSun1+16)=CalendarYear,MONTH(MarSun1+16)=3),MarSun1+16,""))</f>
        <v>44634</v>
      </c>
      <c r="T9" s="72">
        <f>IF(DAY(MarSun1)=1,IF(AND(YEAR(MarSun1+10)=CalendarYear,MONTH(MarSun1+10)=3),MarSun1+10,""),IF(AND(YEAR(MarSun1+17)=CalendarYear,MONTH(MarSun1+17)=3),MarSun1+17,""))</f>
        <v>44635</v>
      </c>
      <c r="U9" s="72">
        <f>IF(DAY(MarSun1)=1,IF(AND(YEAR(MarSun1+11)=CalendarYear,MONTH(MarSun1+11)=3),MarSun1+11,""),IF(AND(YEAR(MarSun1+18)=CalendarYear,MONTH(MarSun1+18)=3),MarSun1+18,""))</f>
        <v>44636</v>
      </c>
      <c r="V9" s="75">
        <f>IF(DAY(MarSun1)=1,IF(AND(YEAR(MarSun1+12)=CalendarYear,MONTH(MarSun1+12)=3),MarSun1+12,""),IF(AND(YEAR(MarSun1+19)=CalendarYear,MONTH(MarSun1+19)=3),MarSun1+19,""))</f>
        <v>44637</v>
      </c>
      <c r="W9" s="75">
        <f>IF(DAY(MarSun1)=1,IF(AND(YEAR(MarSun1+13)=CalendarYear,MONTH(MarSun1+13)=3),MarSun1+13,""),IF(AND(YEAR(MarSun1+20)=CalendarYear,MONTH(MarSun1+20)=3),MarSun1+20,""))</f>
        <v>44638</v>
      </c>
      <c r="X9" s="73">
        <f>IF(DAY(MarSun1)=1,IF(AND(YEAR(MarSun1+14)=CalendarYear,MONTH(MarSun1+14)=3),MarSun1+14,""),IF(AND(YEAR(MarSun1+21)=CalendarYear,MONTH(MarSun1+21)=3),MarSun1+21,""))</f>
        <v>44639</v>
      </c>
      <c r="Z9" s="73">
        <f>IF(DAY(AprSun1)=1,IF(AND(YEAR(AprSun1+8)=CalendarYear,MONTH(AprSun1+8)=4),AprSun1+8,""),IF(AND(YEAR(AprSun1+15)=CalendarYear,MONTH(AprSun1+15)=4),AprSun1+15,""))</f>
        <v>44661</v>
      </c>
      <c r="AA9" s="73">
        <f>IF(DAY(AprSun1)=1,IF(AND(YEAR(AprSun1+9)=CalendarYear,MONTH(AprSun1+9)=4),AprSun1+9,""),IF(AND(YEAR(AprSun1+16)=CalendarYear,MONTH(AprSun1+16)=4),AprSun1+16,""))</f>
        <v>44662</v>
      </c>
      <c r="AB9" s="72">
        <f>IF(DAY(AprSun1)=1,IF(AND(YEAR(AprSun1+10)=CalendarYear,MONTH(AprSun1+10)=4),AprSun1+10,""),IF(AND(YEAR(AprSun1+17)=CalendarYear,MONTH(AprSun1+17)=4),AprSun1+17,""))</f>
        <v>44663</v>
      </c>
      <c r="AC9" s="72">
        <f>IF(DAY(AprSun1)=1,IF(AND(YEAR(AprSun1+11)=CalendarYear,MONTH(AprSun1+11)=4),AprSun1+11,""),IF(AND(YEAR(AprSun1+18)=CalendarYear,MONTH(AprSun1+18)=4),AprSun1+18,""))</f>
        <v>44664</v>
      </c>
      <c r="AD9" s="75">
        <f>IF(DAY(AprSun1)=1,IF(AND(YEAR(AprSun1+12)=CalendarYear,MONTH(AprSun1+12)=4),AprSun1+12,""),IF(AND(YEAR(AprSun1+19)=CalendarYear,MONTH(AprSun1+19)=4),AprSun1+19,""))</f>
        <v>44665</v>
      </c>
      <c r="AE9" s="75">
        <f>IF(DAY(AprSun1)=1,IF(AND(YEAR(AprSun1+13)=CalendarYear,MONTH(AprSun1+13)=4),AprSun1+13,""),IF(AND(YEAR(AprSun1+20)=CalendarYear,MONTH(AprSun1+20)=4),AprSun1+20,""))</f>
        <v>44666</v>
      </c>
      <c r="AF9" s="73">
        <f>IF(DAY(AprSun1)=1,IF(AND(YEAR(AprSun1+14)=CalendarYear,MONTH(AprSun1+14)=4),AprSun1+14,""),IF(AND(YEAR(AprSun1+21)=CalendarYear,MONTH(AprSun1+21)=4),AprSun1+21,""))</f>
        <v>44667</v>
      </c>
    </row>
    <row r="10" spans="2:33" s="71" customFormat="1" ht="26.1" customHeight="1" x14ac:dyDescent="0.3">
      <c r="B10" s="74">
        <f>IF(DAY(JanSun1)=1,IF(AND(YEAR(JanSun1+15)=CalendarYear,MONTH(JanSun1+15)=1),JanSun1+15,""),IF(AND(YEAR(JanSun1+22)=CalendarYear,MONTH(JanSun1+22)=1),JanSun1+22,""))</f>
        <v>44577</v>
      </c>
      <c r="C10" s="74">
        <f>IF(DAY(JanSun1)=1,IF(AND(YEAR(JanSun1+16)=CalendarYear,MONTH(JanSun1+16)=1),JanSun1+16,""),IF(AND(YEAR(JanSun1+23)=CalendarYear,MONTH(JanSun1+23)=1),JanSun1+23,""))</f>
        <v>44578</v>
      </c>
      <c r="D10" s="74">
        <f>IF(DAY(JanSun1)=1,IF(AND(YEAR(JanSun1+17)=CalendarYear,MONTH(JanSun1+17)=1),JanSun1+17,""),IF(AND(YEAR(JanSun1+24)=CalendarYear,MONTH(JanSun1+24)=1),JanSun1+24,""))</f>
        <v>44579</v>
      </c>
      <c r="E10" s="73">
        <f>IF(DAY(JanSun1)=1,IF(AND(YEAR(JanSun1+18)=CalendarYear,MONTH(JanSun1+18)=1),JanSun1+18,""),IF(AND(YEAR(JanSun1+25)=CalendarYear,MONTH(JanSun1+25)=1),JanSun1+25,""))</f>
        <v>44580</v>
      </c>
      <c r="F10" s="76">
        <f>IF(DAY(JanSun1)=1,IF(AND(YEAR(JanSun1+19)=CalendarYear,MONTH(JanSun1+19)=1),JanSun1+19,""),IF(AND(YEAR(JanSun1+26)=CalendarYear,MONTH(JanSun1+26)=1),JanSun1+26,""))</f>
        <v>44581</v>
      </c>
      <c r="G10" s="73">
        <f>IF(DAY(JanSun1)=1,IF(AND(YEAR(JanSun1+20)=CalendarYear,MONTH(JanSun1+20)=1),JanSun1+20,""),IF(AND(YEAR(JanSun1+27)=CalendarYear,MONTH(JanSun1+27)=1),JanSun1+27,""))</f>
        <v>44582</v>
      </c>
      <c r="H10" s="73">
        <f>IF(DAY(JanSun1)=1,IF(AND(YEAR(JanSun1+21)=CalendarYear,MONTH(JanSun1+21)=1),JanSun1+21,""),IF(AND(YEAR(JanSun1+28)=CalendarYear,MONTH(JanSun1+28)=1),JanSun1+28,""))</f>
        <v>44583</v>
      </c>
      <c r="J10" s="74">
        <f>IF(DAY(FebSun1)=1,IF(AND(YEAR(FebSun1+15)=CalendarYear,MONTH(FebSun1+15)=2),FebSun1+15,""),IF(AND(YEAR(FebSun1+22)=CalendarYear,MONTH(FebSun1+22)=2),FebSun1+22,""))</f>
        <v>44612</v>
      </c>
      <c r="K10" s="74">
        <f>IF(DAY(FebSun1)=1,IF(AND(YEAR(FebSun1+16)=CalendarYear,MONTH(FebSun1+16)=2),FebSun1+16,""),IF(AND(YEAR(FebSun1+23)=CalendarYear,MONTH(FebSun1+23)=2),FebSun1+23,""))</f>
        <v>44613</v>
      </c>
      <c r="L10" s="74">
        <f>IF(DAY(FebSun1)=1,IF(AND(YEAR(FebSun1+17)=CalendarYear,MONTH(FebSun1+17)=2),FebSun1+17,""),IF(AND(YEAR(FebSun1+24)=CalendarYear,MONTH(FebSun1+24)=2),FebSun1+24,""))</f>
        <v>44614</v>
      </c>
      <c r="M10" s="73">
        <f>IF(DAY(FebSun1)=1,IF(AND(YEAR(FebSun1+18)=CalendarYear,MONTH(FebSun1+18)=2),FebSun1+18,""),IF(AND(YEAR(FebSun1+25)=CalendarYear,MONTH(FebSun1+25)=2),FebSun1+25,""))</f>
        <v>44615</v>
      </c>
      <c r="N10" s="76">
        <f>IF(DAY(FebSun1)=1,IF(AND(YEAR(FebSun1+19)=CalendarYear,MONTH(FebSun1+19)=2),FebSun1+19,""),IF(AND(YEAR(FebSun1+26)=CalendarYear,MONTH(FebSun1+26)=2),FebSun1+26,""))</f>
        <v>44616</v>
      </c>
      <c r="O10" s="73">
        <f>IF(DAY(FebSun1)=1,IF(AND(YEAR(FebSun1+20)=CalendarYear,MONTH(FebSun1+20)=2),FebSun1+20,""),IF(AND(YEAR(FebSun1+27)=CalendarYear,MONTH(FebSun1+27)=2),FebSun1+27,""))</f>
        <v>44617</v>
      </c>
      <c r="P10" s="73">
        <f>IF(DAY(FebSun1)=1,IF(AND(YEAR(FebSun1+21)=CalendarYear,MONTH(FebSun1+21)=2),FebSun1+21,""),IF(AND(YEAR(FebSun1+28)=CalendarYear,MONTH(FebSun1+28)=2),FebSun1+28,""))</f>
        <v>44618</v>
      </c>
      <c r="R10" s="74">
        <f>IF(DAY(MarSun1)=1,IF(AND(YEAR(MarSun1+15)=CalendarYear,MONTH(MarSun1+15)=3),MarSun1+15,""),IF(AND(YEAR(MarSun1+22)=CalendarYear,MONTH(MarSun1+22)=3),MarSun1+22,""))</f>
        <v>44640</v>
      </c>
      <c r="S10" s="74">
        <f>IF(DAY(MarSun1)=1,IF(AND(YEAR(MarSun1+16)=CalendarYear,MONTH(MarSun1+16)=3),MarSun1+16,""),IF(AND(YEAR(MarSun1+23)=CalendarYear,MONTH(MarSun1+23)=3),MarSun1+23,""))</f>
        <v>44641</v>
      </c>
      <c r="T10" s="74">
        <f>IF(DAY(MarSun1)=1,IF(AND(YEAR(MarSun1+17)=CalendarYear,MONTH(MarSun1+17)=3),MarSun1+17,""),IF(AND(YEAR(MarSun1+24)=CalendarYear,MONTH(MarSun1+24)=3),MarSun1+24,""))</f>
        <v>44642</v>
      </c>
      <c r="U10" s="73">
        <f>IF(DAY(MarSun1)=1,IF(AND(YEAR(MarSun1+18)=CalendarYear,MONTH(MarSun1+18)=3),MarSun1+18,""),IF(AND(YEAR(MarSun1+25)=CalendarYear,MONTH(MarSun1+25)=3),MarSun1+25,""))</f>
        <v>44643</v>
      </c>
      <c r="V10" s="76">
        <f>IF(DAY(MarSun1)=1,IF(AND(YEAR(MarSun1+19)=CalendarYear,MONTH(MarSun1+19)=3),MarSun1+19,""),IF(AND(YEAR(MarSun1+26)=CalendarYear,MONTH(MarSun1+26)=3),MarSun1+26,""))</f>
        <v>44644</v>
      </c>
      <c r="W10" s="73">
        <f>IF(DAY(MarSun1)=1,IF(AND(YEAR(MarSun1+20)=CalendarYear,MONTH(MarSun1+20)=3),MarSun1+20,""),IF(AND(YEAR(MarSun1+27)=CalendarYear,MONTH(MarSun1+27)=3),MarSun1+27,""))</f>
        <v>44645</v>
      </c>
      <c r="X10" s="73">
        <f>IF(DAY(MarSun1)=1,IF(AND(YEAR(MarSun1+21)=CalendarYear,MONTH(MarSun1+21)=3),MarSun1+21,""),IF(AND(YEAR(MarSun1+28)=CalendarYear,MONTH(MarSun1+28)=3),MarSun1+28,""))</f>
        <v>44646</v>
      </c>
      <c r="Z10" s="74">
        <f>IF(DAY(AprSun1)=1,IF(AND(YEAR(AprSun1+15)=CalendarYear,MONTH(AprSun1+15)=4),AprSun1+15,""),IF(AND(YEAR(AprSun1+22)=CalendarYear,MONTH(AprSun1+22)=4),AprSun1+22,""))</f>
        <v>44668</v>
      </c>
      <c r="AA10" s="74">
        <f>IF(DAY(AprSun1)=1,IF(AND(YEAR(AprSun1+16)=CalendarYear,MONTH(AprSun1+16)=4),AprSun1+16,""),IF(AND(YEAR(AprSun1+23)=CalendarYear,MONTH(AprSun1+23)=4),AprSun1+23,""))</f>
        <v>44669</v>
      </c>
      <c r="AB10" s="74">
        <f>IF(DAY(AprSun1)=1,IF(AND(YEAR(AprSun1+17)=CalendarYear,MONTH(AprSun1+17)=4),AprSun1+17,""),IF(AND(YEAR(AprSun1+24)=CalendarYear,MONTH(AprSun1+24)=4),AprSun1+24,""))</f>
        <v>44670</v>
      </c>
      <c r="AC10" s="73">
        <f>IF(DAY(AprSun1)=1,IF(AND(YEAR(AprSun1+18)=CalendarYear,MONTH(AprSun1+18)=4),AprSun1+18,""),IF(AND(YEAR(AprSun1+25)=CalendarYear,MONTH(AprSun1+25)=4),AprSun1+25,""))</f>
        <v>44671</v>
      </c>
      <c r="AD10" s="76">
        <f>IF(DAY(AprSun1)=1,IF(AND(YEAR(AprSun1+19)=CalendarYear,MONTH(AprSun1+19)=4),AprSun1+19,""),IF(AND(YEAR(AprSun1+26)=CalendarYear,MONTH(AprSun1+26)=4),AprSun1+26,""))</f>
        <v>44672</v>
      </c>
      <c r="AE10" s="73">
        <f>IF(DAY(AprSun1)=1,IF(AND(YEAR(AprSun1+20)=CalendarYear,MONTH(AprSun1+20)=4),AprSun1+20,""),IF(AND(YEAR(AprSun1+27)=CalendarYear,MONTH(AprSun1+27)=4),AprSun1+27,""))</f>
        <v>44673</v>
      </c>
      <c r="AF10" s="73">
        <f>IF(DAY(AprSun1)=1,IF(AND(YEAR(AprSun1+21)=CalendarYear,MONTH(AprSun1+21)=4),AprSun1+21,""),IF(AND(YEAR(AprSun1+28)=CalendarYear,MONTH(AprSun1+28)=4),AprSun1+28,""))</f>
        <v>44674</v>
      </c>
    </row>
    <row r="11" spans="2:33" s="71" customFormat="1" ht="26.1" customHeight="1" x14ac:dyDescent="0.3">
      <c r="B11" s="72">
        <f>IF(DAY(JanSun1)=1,IF(AND(YEAR(JanSun1+22)=CalendarYear,MONTH(JanSun1+22)=1),JanSun1+22,""),IF(AND(YEAR(JanSun1+29)=CalendarYear,MONTH(JanSun1+29)=1),JanSun1+29,""))</f>
        <v>44584</v>
      </c>
      <c r="C11" s="72">
        <f>IF(DAY(JanSun1)=1,IF(AND(YEAR(JanSun1+23)=CalendarYear,MONTH(JanSun1+23)=1),JanSun1+23,""),IF(AND(YEAR(JanSun1+30)=CalendarYear,MONTH(JanSun1+30)=1),JanSun1+30,""))</f>
        <v>44585</v>
      </c>
      <c r="D11" s="77">
        <f>IF(DAY(JanSun1)=1,IF(AND(YEAR(JanSun1+24)=CalendarYear,MONTH(JanSun1+24)=1),JanSun1+24,""),IF(AND(YEAR(JanSun1+31)=CalendarYear,MONTH(JanSun1+31)=1),JanSun1+31,""))</f>
        <v>44586</v>
      </c>
      <c r="E11" s="77">
        <f>IF(DAY(JanSun1)=1,IF(AND(YEAR(JanSun1+25)=CalendarYear,MONTH(JanSun1+25)=1),JanSun1+25,""),IF(AND(YEAR(JanSun1+32)=CalendarYear,MONTH(JanSun1+32)=1),JanSun1+32,""))</f>
        <v>44587</v>
      </c>
      <c r="F11" s="77">
        <f>IF(DAY(JanSun1)=1,IF(AND(YEAR(JanSun1+26)=CalendarYear,MONTH(JanSun1+26)=1),JanSun1+26,""),IF(AND(YEAR(JanSun1+33)=CalendarYear,MONTH(JanSun1+33)=1),JanSun1+33,""))</f>
        <v>44588</v>
      </c>
      <c r="G11" s="78">
        <f>IF(DAY(JanSun1)=1,IF(AND(YEAR(JanSun1+27)=CalendarYear,MONTH(JanSun1+27)=1),JanSun1+27,""),IF(AND(YEAR(JanSun1+34)=CalendarYear,MONTH(JanSun1+34)=1),JanSun1+34,""))</f>
        <v>44589</v>
      </c>
      <c r="H11" s="78">
        <f>IF(DAY(JanSun1)=1,IF(AND(YEAR(JanSun1+28)=CalendarYear,MONTH(JanSun1+28)=1),JanSun1+28,""),IF(AND(YEAR(JanSun1+35)=CalendarYear,MONTH(JanSun1+35)=1),JanSun1+35,""))</f>
        <v>44590</v>
      </c>
      <c r="J11" s="72">
        <f>IF(DAY(FebSun1)=1,IF(AND(YEAR(FebSun1+22)=CalendarYear,MONTH(FebSun1+22)=2),FebSun1+22,""),IF(AND(YEAR(FebSun1+29)=CalendarYear,MONTH(FebSun1+29)=2),FebSun1+29,""))</f>
        <v>44619</v>
      </c>
      <c r="K11" s="72">
        <f>IF(DAY(FebSun1)=1,IF(AND(YEAR(FebSun1+23)=CalendarYear,MONTH(FebSun1+23)=2),FebSun1+23,""),IF(AND(YEAR(FebSun1+30)=CalendarYear,MONTH(FebSun1+30)=2),FebSun1+30,""))</f>
        <v>44620</v>
      </c>
      <c r="L11" s="77" t="str">
        <f>IF(DAY(FebSun1)=1,IF(AND(YEAR(FebSun1+24)=CalendarYear,MONTH(FebSun1+24)=2),FebSun1+24,""),IF(AND(YEAR(FebSun1+31)=CalendarYear,MONTH(FebSun1+31)=2),FebSun1+31,""))</f>
        <v/>
      </c>
      <c r="M11" s="77" t="str">
        <f>IF(DAY(FebSun1)=1,IF(AND(YEAR(FebSun1+25)=CalendarYear,MONTH(FebSun1+25)=2),FebSun1+25,""),IF(AND(YEAR(FebSun1+32)=CalendarYear,MONTH(FebSun1+32)=2),FebSun1+32,""))</f>
        <v/>
      </c>
      <c r="N11" s="77" t="str">
        <f>IF(DAY(FebSun1)=1,IF(AND(YEAR(FebSun1+26)=CalendarYear,MONTH(FebSun1+26)=2),FebSun1+26,""),IF(AND(YEAR(FebSun1+33)=CalendarYear,MONTH(FebSun1+33)=2),FebSun1+33,""))</f>
        <v/>
      </c>
      <c r="O11" s="78" t="str">
        <f>IF(DAY(FebSun1)=1,IF(AND(YEAR(FebSun1+27)=CalendarYear,MONTH(FebSun1+27)=2),FebSun1+27,""),IF(AND(YEAR(FebSun1+34)=CalendarYear,MONTH(FebSun1+34)=2),FebSun1+34,""))</f>
        <v/>
      </c>
      <c r="P11" s="78" t="str">
        <f>IF(DAY(FebSun1)=1,IF(AND(YEAR(FebSun1+28)=CalendarYear,MONTH(FebSun1+28)=2),FebSun1+28,""),IF(AND(YEAR(FebSun1+35)=CalendarYear,MONTH(FebSun1+35)=2),FebSun1+35,""))</f>
        <v/>
      </c>
      <c r="R11" s="72">
        <f>IF(DAY(MarSun1)=1,IF(AND(YEAR(MarSun1+22)=CalendarYear,MONTH(MarSun1+22)=3),MarSun1+22,""),IF(AND(YEAR(MarSun1+29)=CalendarYear,MONTH(MarSun1+29)=3),MarSun1+29,""))</f>
        <v>44647</v>
      </c>
      <c r="S11" s="72">
        <f>IF(DAY(MarSun1)=1,IF(AND(YEAR(MarSun1+23)=CalendarYear,MONTH(MarSun1+23)=3),MarSun1+23,""),IF(AND(YEAR(MarSun1+30)=CalendarYear,MONTH(MarSun1+30)=3),MarSun1+30,""))</f>
        <v>44648</v>
      </c>
      <c r="T11" s="77">
        <f>IF(DAY(MarSun1)=1,IF(AND(YEAR(MarSun1+24)=CalendarYear,MONTH(MarSun1+24)=3),MarSun1+24,""),IF(AND(YEAR(MarSun1+31)=CalendarYear,MONTH(MarSun1+31)=3),MarSun1+31,""))</f>
        <v>44649</v>
      </c>
      <c r="U11" s="77">
        <f>IF(DAY(MarSun1)=1,IF(AND(YEAR(MarSun1+25)=CalendarYear,MONTH(MarSun1+25)=3),MarSun1+25,""),IF(AND(YEAR(MarSun1+32)=CalendarYear,MONTH(MarSun1+32)=3),MarSun1+32,""))</f>
        <v>44650</v>
      </c>
      <c r="V11" s="77">
        <f>IF(DAY(MarSun1)=1,IF(AND(YEAR(MarSun1+26)=CalendarYear,MONTH(MarSun1+26)=3),MarSun1+26,""),IF(AND(YEAR(MarSun1+33)=CalendarYear,MONTH(MarSun1+33)=3),MarSun1+33,""))</f>
        <v>44651</v>
      </c>
      <c r="W11" s="78" t="str">
        <f>IF(DAY(MarSun1)=1,IF(AND(YEAR(MarSun1+27)=CalendarYear,MONTH(MarSun1+27)=3),MarSun1+27,""),IF(AND(YEAR(MarSun1+34)=CalendarYear,MONTH(MarSun1+34)=3),MarSun1+34,""))</f>
        <v/>
      </c>
      <c r="X11" s="78" t="str">
        <f>IF(DAY(MarSun1)=1,IF(AND(YEAR(MarSun1+28)=CalendarYear,MONTH(MarSun1+28)=3),MarSun1+28,""),IF(AND(YEAR(MarSun1+35)=CalendarYear,MONTH(MarSun1+35)=3),MarSun1+35,""))</f>
        <v/>
      </c>
      <c r="Z11" s="72">
        <f>IF(DAY(AprSun1)=1,IF(AND(YEAR(AprSun1+22)=CalendarYear,MONTH(AprSun1+22)=4),AprSun1+22,""),IF(AND(YEAR(AprSun1+29)=CalendarYear,MONTH(AprSun1+29)=4),AprSun1+29,""))</f>
        <v>44675</v>
      </c>
      <c r="AA11" s="72">
        <f>IF(DAY(AprSun1)=1,IF(AND(YEAR(AprSun1+23)=CalendarYear,MONTH(AprSun1+23)=4),AprSun1+23,""),IF(AND(YEAR(AprSun1+30)=CalendarYear,MONTH(AprSun1+30)=4),AprSun1+30,""))</f>
        <v>44676</v>
      </c>
      <c r="AB11" s="77">
        <f>IF(DAY(AprSun1)=1,IF(AND(YEAR(AprSun1+24)=CalendarYear,MONTH(AprSun1+24)=4),AprSun1+24,""),IF(AND(YEAR(AprSun1+31)=CalendarYear,MONTH(AprSun1+31)=4),AprSun1+31,""))</f>
        <v>44677</v>
      </c>
      <c r="AC11" s="77">
        <f>IF(DAY(AprSun1)=1,IF(AND(YEAR(AprSun1+25)=CalendarYear,MONTH(AprSun1+25)=4),AprSun1+25,""),IF(AND(YEAR(AprSun1+32)=CalendarYear,MONTH(AprSun1+32)=4),AprSun1+32,""))</f>
        <v>44678</v>
      </c>
      <c r="AD11" s="77">
        <f>IF(DAY(AprSun1)=1,IF(AND(YEAR(AprSun1+26)=CalendarYear,MONTH(AprSun1+26)=4),AprSun1+26,""),IF(AND(YEAR(AprSun1+33)=CalendarYear,MONTH(AprSun1+33)=4),AprSun1+33,""))</f>
        <v>44679</v>
      </c>
      <c r="AE11" s="78">
        <f>IF(DAY(AprSun1)=1,IF(AND(YEAR(AprSun1+27)=CalendarYear,MONTH(AprSun1+27)=4),AprSun1+27,""),IF(AND(YEAR(AprSun1+34)=CalendarYear,MONTH(AprSun1+34)=4),AprSun1+34,""))</f>
        <v>44680</v>
      </c>
      <c r="AF11" s="78">
        <f>IF(DAY(AprSun1)=1,IF(AND(YEAR(AprSun1+28)=CalendarYear,MONTH(AprSun1+28)=4),AprSun1+28,""),IF(AND(YEAR(AprSun1+35)=CalendarYear,MONTH(AprSun1+35)=4),AprSun1+35,""))</f>
        <v>44681</v>
      </c>
    </row>
    <row r="12" spans="2:33" s="71" customFormat="1" ht="26.1" customHeight="1" x14ac:dyDescent="0.3">
      <c r="B12" s="72">
        <f>IF(DAY(JanSun1)=1,IF(AND(YEAR(JanSun1+29)=CalendarYear,MONTH(JanSun1+29)=1),JanSun1+29,""),IF(AND(YEAR(JanSun1+36)=CalendarYear,MONTH(JanSun1+36)=1),JanSun1+36,""))</f>
        <v>44591</v>
      </c>
      <c r="C12" s="72">
        <f>IF(DAY(JanSun1)=1,IF(AND(YEAR(JanSun1+30)=CalendarYear,MONTH(JanSun1+30)=1),JanSun1+30,""),IF(AND(YEAR(JanSun1+37)=CalendarYear,MONTH(JanSun1+37)=1),JanSun1+37,""))</f>
        <v>44592</v>
      </c>
      <c r="D12" s="77" t="str">
        <f>IF(DAY(JanSun1)=1,IF(AND(YEAR(JanSun1+31)=CalendarYear,MONTH(JanSun1+31)=1),JanSun1+31,""),IF(AND(YEAR(JanSun1+38)=CalendarYear,MONTH(JanSun1+38)=1),JanSun1+38,""))</f>
        <v/>
      </c>
      <c r="E12" s="77" t="str">
        <f>IF(DAY(JanSun1)=1,IF(AND(YEAR(JanSun1+32)=CalendarYear,MONTH(JanSun1+32)=1),JanSun1+32,""),IF(AND(YEAR(JanSun1+39)=CalendarYear,MONTH(JanSun1+39)=1),JanSun1+39,""))</f>
        <v/>
      </c>
      <c r="F12" s="77" t="str">
        <f>IF(DAY(JanSun1)=1,IF(AND(YEAR(JanSun1+33)=CalendarYear,MONTH(JanSun1+33)=1),JanSun1+33,""),IF(AND(YEAR(JanSun1+40)=CalendarYear,MONTH(JanSun1+40)=1),JanSun1+40,""))</f>
        <v/>
      </c>
      <c r="G12" s="78" t="str">
        <f>IF(DAY(JanSun1)=1,IF(AND(YEAR(JanSun1+34)=CalendarYear,MONTH(JanSun1+34)=1),JanSun1+34,""),IF(AND(YEAR(JanSun1+41)=CalendarYear,MONTH(JanSun1+41)=1),JanSun1+41,""))</f>
        <v/>
      </c>
      <c r="H12" s="78" t="str">
        <f>IF(DAY(JanSun1)=1,IF(AND(YEAR(JanSun1+35)=CalendarYear,MONTH(JanSun1+35)=1),JanSun1+35,""),IF(AND(YEAR(JanSun1+42)=CalendarYear,MONTH(JanSun1+42)=1),JanSun1+42,""))</f>
        <v/>
      </c>
      <c r="J12" s="72" t="str">
        <f>IF(DAY(FebSun1)=1,IF(AND(YEAR(FebSun1+29)=CalendarYear,MONTH(FebSun1+29)=2),FebSun1+29,""),IF(AND(YEAR(FebSun1+36)=CalendarYear,MONTH(FebSun1+36)=2),FebSun1+36,""))</f>
        <v/>
      </c>
      <c r="K12" s="72" t="str">
        <f>IF(DAY(FebSun1)=1,IF(AND(YEAR(FebSun1+30)=CalendarYear,MONTH(FebSun1+30)=2),FebSun1+30,""),IF(AND(YEAR(FebSun1+37)=CalendarYear,MONTH(FebSun1+37)=2),FebSun1+37,""))</f>
        <v/>
      </c>
      <c r="L12" s="77" t="str">
        <f>IF(DAY(FebSun1)=1,IF(AND(YEAR(FebSun1+31)=CalendarYear,MONTH(FebSun1+31)=2),FebSun1+31,""),IF(AND(YEAR(FebSun1+38)=CalendarYear,MONTH(FebSun1+38)=2),FebSun1+38,""))</f>
        <v/>
      </c>
      <c r="M12" s="77" t="str">
        <f>IF(DAY(FebSun1)=1,IF(AND(YEAR(FebSun1+32)=CalendarYear,MONTH(FebSun1+32)=2),FebSun1+32,""),IF(AND(YEAR(FebSun1+39)=CalendarYear,MONTH(FebSun1+39)=2),FebSun1+39,""))</f>
        <v/>
      </c>
      <c r="N12" s="77" t="str">
        <f>IF(DAY(FebSun1)=1,IF(AND(YEAR(FebSun1+33)=CalendarYear,MONTH(FebSun1+33)=2),FebSun1+33,""),IF(AND(YEAR(FebSun1+40)=CalendarYear,MONTH(FebSun1+40)=2),FebSun1+40,""))</f>
        <v/>
      </c>
      <c r="O12" s="78" t="str">
        <f>IF(DAY(FebSun1)=1,IF(AND(YEAR(FebSun1+34)=CalendarYear,MONTH(FebSun1+34)=2),FebSun1+34,""),IF(AND(YEAR(FebSun1+41)=CalendarYear,MONTH(FebSun1+41)=2),FebSun1+41,""))</f>
        <v/>
      </c>
      <c r="P12" s="78" t="str">
        <f>IF(DAY(FebSun1)=1,IF(AND(YEAR(FebSun1+35)=CalendarYear,MONTH(FebSun1+35)=2),FebSun1+35,""),IF(AND(YEAR(FebSun1+42)=CalendarYear,MONTH(FebSun1+42)=2),FebSun1+42,""))</f>
        <v/>
      </c>
      <c r="R12" s="72" t="str">
        <f>IF(DAY(MarSun1)=1,IF(AND(YEAR(MarSun1+29)=CalendarYear,MONTH(MarSun1+29)=3),MarSun1+29,""),IF(AND(YEAR(MarSun1+36)=CalendarYear,MONTH(MarSun1+36)=3),MarSun1+36,""))</f>
        <v/>
      </c>
      <c r="S12" s="72" t="str">
        <f>IF(DAY(MarSun1)=1,IF(AND(YEAR(MarSun1+30)=CalendarYear,MONTH(MarSun1+30)=3),MarSun1+30,""),IF(AND(YEAR(MarSun1+37)=CalendarYear,MONTH(MarSun1+37)=3),MarSun1+37,""))</f>
        <v/>
      </c>
      <c r="T12" s="77" t="str">
        <f>IF(DAY(MarSun1)=1,IF(AND(YEAR(MarSun1+31)=CalendarYear,MONTH(MarSun1+31)=3),MarSun1+31,""),IF(AND(YEAR(MarSun1+38)=CalendarYear,MONTH(MarSun1+38)=3),MarSun1+38,""))</f>
        <v/>
      </c>
      <c r="U12" s="77" t="str">
        <f>IF(DAY(MarSun1)=1,IF(AND(YEAR(MarSun1+32)=CalendarYear,MONTH(MarSun1+32)=3),MarSun1+32,""),IF(AND(YEAR(MarSun1+39)=CalendarYear,MONTH(MarSun1+39)=3),MarSun1+39,""))</f>
        <v/>
      </c>
      <c r="V12" s="77" t="str">
        <f>IF(DAY(MarSun1)=1,IF(AND(YEAR(MarSun1+33)=CalendarYear,MONTH(MarSun1+33)=3),MarSun1+33,""),IF(AND(YEAR(MarSun1+40)=CalendarYear,MONTH(MarSun1+40)=3),MarSun1+40,""))</f>
        <v/>
      </c>
      <c r="W12" s="78" t="str">
        <f>IF(DAY(MarSun1)=1,IF(AND(YEAR(MarSun1+34)=CalendarYear,MONTH(MarSun1+34)=3),MarSun1+34,""),IF(AND(YEAR(MarSun1+41)=CalendarYear,MONTH(MarSun1+41)=3),MarSun1+41,""))</f>
        <v/>
      </c>
      <c r="X12" s="78" t="str">
        <f>IF(DAY(MarSun1)=1,IF(AND(YEAR(MarSun1+35)=CalendarYear,MONTH(MarSun1+35)=3),MarSun1+35,""),IF(AND(YEAR(MarSun1+42)=CalendarYear,MONTH(MarSun1+42)=3),MarSun1+42,""))</f>
        <v/>
      </c>
      <c r="Z12" s="72" t="str">
        <f>IF(DAY(AprSun1)=1,IF(AND(YEAR(AprSun1+29)=CalendarYear,MONTH(AprSun1+29)=4),AprSun1+29,""),IF(AND(YEAR(AprSun1+36)=CalendarYear,MONTH(AprSun1+36)=4),AprSun1+36,""))</f>
        <v/>
      </c>
      <c r="AA12" s="72" t="str">
        <f>IF(DAY(AprSun1)=1,IF(AND(YEAR(AprSun1+30)=CalendarYear,MONTH(AprSun1+30)=4),AprSun1+30,""),IF(AND(YEAR(AprSun1+37)=CalendarYear,MONTH(AprSun1+37)=4),AprSun1+37,""))</f>
        <v/>
      </c>
      <c r="AB12" s="77" t="str">
        <f>IF(DAY(AprSun1)=1,IF(AND(YEAR(AprSun1+31)=CalendarYear,MONTH(AprSun1+31)=4),AprSun1+31,""),IF(AND(YEAR(AprSun1+38)=CalendarYear,MONTH(AprSun1+38)=4),AprSun1+38,""))</f>
        <v/>
      </c>
      <c r="AC12" s="77" t="str">
        <f>IF(DAY(AprSun1)=1,IF(AND(YEAR(AprSun1+32)=CalendarYear,MONTH(AprSun1+32)=4),AprSun1+32,""),IF(AND(YEAR(AprSun1+39)=CalendarYear,MONTH(AprSun1+39)=4),AprSun1+39,""))</f>
        <v/>
      </c>
      <c r="AD12" s="77" t="str">
        <f>IF(DAY(AprSun1)=1,IF(AND(YEAR(AprSun1+33)=CalendarYear,MONTH(AprSun1+33)=4),AprSun1+33,""),IF(AND(YEAR(AprSun1+40)=CalendarYear,MONTH(AprSun1+40)=4),AprSun1+40,""))</f>
        <v/>
      </c>
      <c r="AE12" s="78" t="str">
        <f>IF(DAY(AprSun1)=1,IF(AND(YEAR(AprSun1+34)=CalendarYear,MONTH(AprSun1+34)=4),AprSun1+34,""),IF(AND(YEAR(AprSun1+41)=CalendarYear,MONTH(AprSun1+41)=4),AprSun1+41,""))</f>
        <v/>
      </c>
      <c r="AF12" s="78" t="str">
        <f>IF(DAY(AprSun1)=1,IF(AND(YEAR(AprSun1+35)=CalendarYear,MONTH(AprSun1+35)=4),AprSun1+35,""),IF(AND(YEAR(AprSun1+42)=CalendarYear,MONTH(AprSun1+42)=4),AprSun1+42,""))</f>
        <v/>
      </c>
    </row>
    <row r="13" spans="2:33" s="79" customFormat="1" ht="18" customHeight="1" x14ac:dyDescent="0.3"/>
    <row r="14" spans="2:33" s="63" customFormat="1" ht="25.5" customHeight="1" x14ac:dyDescent="0.3">
      <c r="B14" s="157" t="s">
        <v>20</v>
      </c>
      <c r="C14" s="157"/>
      <c r="D14" s="157"/>
      <c r="E14" s="157"/>
      <c r="F14" s="157"/>
      <c r="G14" s="157"/>
      <c r="H14" s="157"/>
      <c r="J14" s="157" t="s">
        <v>21</v>
      </c>
      <c r="K14" s="157"/>
      <c r="L14" s="157"/>
      <c r="M14" s="157"/>
      <c r="N14" s="157"/>
      <c r="O14" s="157"/>
      <c r="P14" s="157"/>
      <c r="R14" s="157" t="s">
        <v>22</v>
      </c>
      <c r="S14" s="157"/>
      <c r="T14" s="157"/>
      <c r="U14" s="157"/>
      <c r="V14" s="157"/>
      <c r="W14" s="157"/>
      <c r="X14" s="157"/>
      <c r="Z14" s="157" t="s">
        <v>23</v>
      </c>
      <c r="AA14" s="157"/>
      <c r="AB14" s="157"/>
      <c r="AC14" s="157"/>
      <c r="AD14" s="157"/>
      <c r="AE14" s="157"/>
      <c r="AF14" s="157"/>
    </row>
    <row r="15" spans="2:33" s="67" customFormat="1" ht="26.1" customHeight="1" x14ac:dyDescent="0.25">
      <c r="B15" s="64" t="s">
        <v>13</v>
      </c>
      <c r="C15" s="65" t="s">
        <v>14</v>
      </c>
      <c r="D15" s="65" t="s">
        <v>15</v>
      </c>
      <c r="E15" s="65" t="s">
        <v>16</v>
      </c>
      <c r="F15" s="65" t="s">
        <v>17</v>
      </c>
      <c r="G15" s="65" t="s">
        <v>18</v>
      </c>
      <c r="H15" s="66" t="s">
        <v>19</v>
      </c>
      <c r="J15" s="64" t="s">
        <v>13</v>
      </c>
      <c r="K15" s="65" t="s">
        <v>14</v>
      </c>
      <c r="L15" s="65" t="s">
        <v>15</v>
      </c>
      <c r="M15" s="65" t="s">
        <v>16</v>
      </c>
      <c r="N15" s="65" t="s">
        <v>17</v>
      </c>
      <c r="O15" s="65" t="s">
        <v>18</v>
      </c>
      <c r="P15" s="66" t="s">
        <v>19</v>
      </c>
      <c r="R15" s="64" t="s">
        <v>13</v>
      </c>
      <c r="S15" s="65" t="s">
        <v>14</v>
      </c>
      <c r="T15" s="65" t="s">
        <v>15</v>
      </c>
      <c r="U15" s="65" t="s">
        <v>16</v>
      </c>
      <c r="V15" s="65" t="s">
        <v>17</v>
      </c>
      <c r="W15" s="65" t="s">
        <v>18</v>
      </c>
      <c r="X15" s="66" t="s">
        <v>19</v>
      </c>
      <c r="Z15" s="64" t="s">
        <v>13</v>
      </c>
      <c r="AA15" s="65" t="s">
        <v>14</v>
      </c>
      <c r="AB15" s="65" t="s">
        <v>15</v>
      </c>
      <c r="AC15" s="65" t="s">
        <v>16</v>
      </c>
      <c r="AD15" s="65" t="s">
        <v>17</v>
      </c>
      <c r="AE15" s="65" t="s">
        <v>18</v>
      </c>
      <c r="AF15" s="66" t="s">
        <v>19</v>
      </c>
    </row>
    <row r="16" spans="2:33" s="71" customFormat="1" ht="26.1" customHeight="1" x14ac:dyDescent="0.3">
      <c r="B16" s="68">
        <f>IF(DAY(MaySun1)=1,"",IF(AND(YEAR(MaySun1+1)=CalendarYear,MONTH(MaySun1+1)=5),MaySun1+1,""))</f>
        <v>44682</v>
      </c>
      <c r="C16" s="68">
        <f>IF(DAY(MaySun1)=1,"",IF(AND(YEAR(MaySun1+2)=CalendarYear,MONTH(MaySun1+2)=5),MaySun1+2,""))</f>
        <v>44683</v>
      </c>
      <c r="D16" s="69">
        <f>IF(DAY(MaySun1)=1,"",IF(AND(YEAR(MaySun1+3)=CalendarYear,MONTH(MaySun1+3)=5),MaySun1+3,""))</f>
        <v>44684</v>
      </c>
      <c r="E16" s="69">
        <f>IF(DAY(MaySun1)=1,"",IF(AND(YEAR(MaySun1+4)=CalendarYear,MONTH(MaySun1+4)=5),MaySun1+4,""))</f>
        <v>44685</v>
      </c>
      <c r="F16" s="69">
        <f>IF(DAY(MaySun1)=1,"",IF(AND(YEAR(MaySun1+5)=CalendarYear,MONTH(MaySun1+5)=5),MaySun1+5,""))</f>
        <v>44686</v>
      </c>
      <c r="G16" s="70">
        <f>IF(DAY(MaySun1)=1,"",IF(AND(YEAR(MaySun1+6)=CalendarYear,MONTH(MaySun1+6)=5),MaySun1+6,""))</f>
        <v>44687</v>
      </c>
      <c r="H16" s="70">
        <f>IF(DAY(MaySun1)=1,IF(AND(YEAR(MaySun1)=CalendarYear,MONTH(MaySun1)=5),MaySun1,""),IF(AND(YEAR(MaySun1+7)=CalendarYear,MONTH(MaySun1+7)=5),MaySun1+7,""))</f>
        <v>44688</v>
      </c>
      <c r="J16" s="68" t="str">
        <f>IF(DAY(JunSun1)=1,"",IF(AND(YEAR(JunSun1+1)=CalendarYear,MONTH(JunSun1+1)=6),JunSun1+1,""))</f>
        <v/>
      </c>
      <c r="K16" s="68" t="str">
        <f>IF(DAY(JunSun1)=1,"",IF(AND(YEAR(JunSun1+2)=CalendarYear,MONTH(JunSun1+2)=6),JunSun1+2,""))</f>
        <v/>
      </c>
      <c r="L16" s="69" t="str">
        <f>IF(DAY(JunSun1)=1,"",IF(AND(YEAR(JunSun1+3)=CalendarYear,MONTH(JunSun1+3)=6),JunSun1+3,""))</f>
        <v/>
      </c>
      <c r="M16" s="69">
        <f>IF(DAY(JunSun1)=1,"",IF(AND(YEAR(JunSun1+4)=CalendarYear,MONTH(JunSun1+4)=6),JunSun1+4,""))</f>
        <v>44713</v>
      </c>
      <c r="N16" s="69">
        <f>IF(DAY(JunSun1)=1,"",IF(AND(YEAR(JunSun1+5)=CalendarYear,MONTH(JunSun1+5)=6),JunSun1+5,""))</f>
        <v>44714</v>
      </c>
      <c r="O16" s="70">
        <f>IF(DAY(JunSun1)=1,"",IF(AND(YEAR(JunSun1+6)=CalendarYear,MONTH(JunSun1+6)=6),JunSun1+6,""))</f>
        <v>44715</v>
      </c>
      <c r="P16" s="70">
        <f>IF(DAY(JunSun1)=1,IF(AND(YEAR(JunSun1)=CalendarYear,MONTH(JunSun1)=6),JunSun1,""),IF(AND(YEAR(JunSun1+7)=CalendarYear,MONTH(JunSun1+7)=6),JunSun1+7,""))</f>
        <v>44716</v>
      </c>
      <c r="R16" s="68" t="str">
        <f>IF(DAY(JulSun1)=1,"",IF(AND(YEAR(JulSun1+1)=CalendarYear,MONTH(JulSun1+1)=7),JulSun1+1,""))</f>
        <v/>
      </c>
      <c r="S16" s="68" t="str">
        <f>IF(DAY(JulSun1)=1,"",IF(AND(YEAR(JulSun1+2)=CalendarYear,MONTH(JulSun1+2)=7),JulSun1+2,""))</f>
        <v/>
      </c>
      <c r="T16" s="69" t="str">
        <f>IF(DAY(JulSun1)=1,"",IF(AND(YEAR(JulSun1+3)=CalendarYear,MONTH(JulSun1+3)=7),JulSun1+3,""))</f>
        <v/>
      </c>
      <c r="U16" s="69" t="str">
        <f>IF(DAY(JulSun1)=1,"",IF(AND(YEAR(JulSun1+4)=CalendarYear,MONTH(JulSun1+4)=7),JulSun1+4,""))</f>
        <v/>
      </c>
      <c r="V16" s="69" t="str">
        <f>IF(DAY(JulSun1)=1,"",IF(AND(YEAR(JulSun1+5)=CalendarYear,MONTH(JulSun1+5)=7),JulSun1+5,""))</f>
        <v/>
      </c>
      <c r="W16" s="70">
        <f>IF(DAY(JulSun1)=1,"",IF(AND(YEAR(JulSun1+6)=CalendarYear,MONTH(JulSun1+6)=7),JulSun1+6,""))</f>
        <v>44743</v>
      </c>
      <c r="X16" s="70">
        <f>IF(DAY(JulSun1)=1,IF(AND(YEAR(JulSun1)=CalendarYear,MONTH(JulSun1)=7),JulSun1,""),IF(AND(YEAR(JulSun1+7)=CalendarYear,MONTH(JulSun1+7)=7),JulSun1+7,""))</f>
        <v>44744</v>
      </c>
      <c r="Z16" s="68" t="str">
        <f>IF(DAY(AugSun1)=1,"",IF(AND(YEAR(AugSun1+1)=CalendarYear,MONTH(AugSun1+1)=8),AugSun1+1,""))</f>
        <v/>
      </c>
      <c r="AA16" s="123">
        <f>IF(DAY(AugSun1)=1,"",IF(AND(YEAR(AugSun1+2)=CalendarYear,MONTH(AugSun1+2)=8),AugSun1+2,""))</f>
        <v>44774</v>
      </c>
      <c r="AB16" s="69">
        <f>IF(DAY(AugSun1)=1,"",IF(AND(YEAR(AugSun1+3)=CalendarYear,MONTH(AugSun1+3)=8),AugSun1+3,""))</f>
        <v>44775</v>
      </c>
      <c r="AC16" s="69">
        <f>IF(DAY(AugSun1)=1,"",IF(AND(YEAR(AugSun1+4)=CalendarYear,MONTH(AugSun1+4)=8),AugSun1+4,""))</f>
        <v>44776</v>
      </c>
      <c r="AD16" s="69">
        <f>IF(DAY(AugSun1)=1,"",IF(AND(YEAR(AugSun1+5)=CalendarYear,MONTH(AugSun1+5)=8),AugSun1+5,""))</f>
        <v>44777</v>
      </c>
      <c r="AE16" s="70">
        <f>IF(DAY(AugSun1)=1,"",IF(AND(YEAR(AugSun1+6)=CalendarYear,MONTH(AugSun1+6)=8),AugSun1+6,""))</f>
        <v>44778</v>
      </c>
      <c r="AF16" s="70">
        <f>IF(DAY(AugSun1)=1,IF(AND(YEAR(AugSun1)=CalendarYear,MONTH(AugSun1)=8),AugSun1,""),IF(AND(YEAR(AugSun1+7)=CalendarYear,MONTH(AugSun1+7)=8),AugSun1+7,""))</f>
        <v>44779</v>
      </c>
    </row>
    <row r="17" spans="2:32" s="71" customFormat="1" ht="26.1" customHeight="1" x14ac:dyDescent="0.3">
      <c r="B17" s="72">
        <f>IF(DAY(MaySun1)=1,IF(AND(YEAR(MaySun1+1)=CalendarYear,MONTH(MaySun1+1)=5),MaySun1+1,""),IF(AND(YEAR(MaySun1+8)=CalendarYear,MONTH(MaySun1+8)=5),MaySun1+8,""))</f>
        <v>44689</v>
      </c>
      <c r="C17" s="72">
        <f>IF(DAY(MaySun1)=1,IF(AND(YEAR(MaySun1+2)=CalendarYear,MONTH(MaySun1+2)=5),MaySun1+2,""),IF(AND(YEAR(MaySun1+9)=CalendarYear,MONTH(MaySun1+9)=5),MaySun1+9,""))</f>
        <v>44690</v>
      </c>
      <c r="D17" s="72">
        <f>IF(DAY(MaySun1)=1,IF(AND(YEAR(MaySun1+3)=CalendarYear,MONTH(MaySun1+3)=5),MaySun1+3,""),IF(AND(YEAR(MaySun1+10)=CalendarYear,MONTH(MaySun1+10)=5),MaySun1+10,""))</f>
        <v>44691</v>
      </c>
      <c r="E17" s="73">
        <f>IF(DAY(MaySun1)=1,IF(AND(YEAR(MaySun1+4)=CalendarYear,MONTH(MaySun1+4)=5),MaySun1+4,""),IF(AND(YEAR(MaySun1+11)=CalendarYear,MONTH(MaySun1+11)=5),MaySun1+11,""))</f>
        <v>44692</v>
      </c>
      <c r="F17" s="73">
        <f>IF(DAY(MaySun1)=1,IF(AND(YEAR(MaySun1+5)=CalendarYear,MONTH(MaySun1+5)=5),MaySun1+5,""),IF(AND(YEAR(MaySun1+12)=CalendarYear,MONTH(MaySun1+12)=5),MaySun1+12,""))</f>
        <v>44693</v>
      </c>
      <c r="G17" s="74">
        <f>IF(DAY(MaySun1)=1,IF(AND(YEAR(MaySun1+6)=CalendarYear,MONTH(MaySun1+6)=5),MaySun1+6,""),IF(AND(YEAR(MaySun1+13)=CalendarYear,MONTH(MaySun1+13)=5),MaySun1+13,""))</f>
        <v>44694</v>
      </c>
      <c r="H17" s="74">
        <f>IF(DAY(MaySun1)=1,IF(AND(YEAR(MaySun1+7)=CalendarYear,MONTH(MaySun1+7)=5),MaySun1+7,""),IF(AND(YEAR(MaySun1+14)=CalendarYear,MONTH(MaySun1+14)=5),MaySun1+14,""))</f>
        <v>44695</v>
      </c>
      <c r="J17" s="72">
        <f>IF(DAY(JunSun1)=1,IF(AND(YEAR(JunSun1+1)=CalendarYear,MONTH(JunSun1+1)=6),JunSun1+1,""),IF(AND(YEAR(JunSun1+8)=CalendarYear,MONTH(JunSun1+8)=6),JunSun1+8,""))</f>
        <v>44717</v>
      </c>
      <c r="K17" s="72">
        <f>IF(DAY(JunSun1)=1,IF(AND(YEAR(JunSun1+2)=CalendarYear,MONTH(JunSun1+2)=6),JunSun1+2,""),IF(AND(YEAR(JunSun1+9)=CalendarYear,MONTH(JunSun1+9)=6),JunSun1+9,""))</f>
        <v>44718</v>
      </c>
      <c r="L17" s="72">
        <f>IF(DAY(JunSun1)=1,IF(AND(YEAR(JunSun1+3)=CalendarYear,MONTH(JunSun1+3)=6),JunSun1+3,""),IF(AND(YEAR(JunSun1+10)=CalendarYear,MONTH(JunSun1+10)=6),JunSun1+10,""))</f>
        <v>44719</v>
      </c>
      <c r="M17" s="73">
        <f>IF(DAY(JunSun1)=1,IF(AND(YEAR(JunSun1+4)=CalendarYear,MONTH(JunSun1+4)=6),JunSun1+4,""),IF(AND(YEAR(JunSun1+11)=CalendarYear,MONTH(JunSun1+11)=6),JunSun1+11,""))</f>
        <v>44720</v>
      </c>
      <c r="N17" s="73">
        <f>IF(DAY(JunSun1)=1,IF(AND(YEAR(JunSun1+5)=CalendarYear,MONTH(JunSun1+5)=6),JunSun1+5,""),IF(AND(YEAR(JunSun1+12)=CalendarYear,MONTH(JunSun1+12)=6),JunSun1+12,""))</f>
        <v>44721</v>
      </c>
      <c r="O17" s="74">
        <f>IF(DAY(JunSun1)=1,IF(AND(YEAR(JunSun1+6)=CalendarYear,MONTH(JunSun1+6)=6),JunSun1+6,""),IF(AND(YEAR(JunSun1+13)=CalendarYear,MONTH(JunSun1+13)=6),JunSun1+13,""))</f>
        <v>44722</v>
      </c>
      <c r="P17" s="74">
        <f>IF(DAY(JunSun1)=1,IF(AND(YEAR(JunSun1+7)=CalendarYear,MONTH(JunSun1+7)=6),JunSun1+7,""),IF(AND(YEAR(JunSun1+14)=CalendarYear,MONTH(JunSun1+14)=6),JunSun1+14,""))</f>
        <v>44723</v>
      </c>
      <c r="R17" s="72">
        <f>IF(DAY(JulSun1)=1,IF(AND(YEAR(JulSun1+1)=CalendarYear,MONTH(JulSun1+1)=7),JulSun1+1,""),IF(AND(YEAR(JulSun1+8)=CalendarYear,MONTH(JulSun1+8)=7),JulSun1+8,""))</f>
        <v>44745</v>
      </c>
      <c r="S17" s="72">
        <f>IF(DAY(JulSun1)=1,IF(AND(YEAR(JulSun1+2)=CalendarYear,MONTH(JulSun1+2)=7),JulSun1+2,""),IF(AND(YEAR(JulSun1+9)=CalendarYear,MONTH(JulSun1+9)=7),JulSun1+9,""))</f>
        <v>44746</v>
      </c>
      <c r="T17" s="120">
        <f>IF(DAY(JulSun1)=1,IF(AND(YEAR(JulSun1+3)=CalendarYear,MONTH(JulSun1+3)=7),JulSun1+3,""),IF(AND(YEAR(JulSun1+10)=CalendarYear,MONTH(JulSun1+10)=7),JulSun1+10,""))</f>
        <v>44747</v>
      </c>
      <c r="U17" s="73">
        <f>IF(DAY(JulSun1)=1,IF(AND(YEAR(JulSun1+4)=CalendarYear,MONTH(JulSun1+4)=7),JulSun1+4,""),IF(AND(YEAR(JulSun1+11)=CalendarYear,MONTH(JulSun1+11)=7),JulSun1+11,""))</f>
        <v>44748</v>
      </c>
      <c r="V17" s="73">
        <f>IF(DAY(JulSun1)=1,IF(AND(YEAR(JulSun1+5)=CalendarYear,MONTH(JulSun1+5)=7),JulSun1+5,""),IF(AND(YEAR(JulSun1+12)=CalendarYear,MONTH(JulSun1+12)=7),JulSun1+12,""))</f>
        <v>44749</v>
      </c>
      <c r="W17" s="74">
        <f>IF(DAY(JulSun1)=1,IF(AND(YEAR(JulSun1+6)=CalendarYear,MONTH(JulSun1+6)=7),JulSun1+6,""),IF(AND(YEAR(JulSun1+13)=CalendarYear,MONTH(JulSun1+13)=7),JulSun1+13,""))</f>
        <v>44750</v>
      </c>
      <c r="X17" s="74">
        <f>IF(DAY(JulSun1)=1,IF(AND(YEAR(JulSun1+7)=CalendarYear,MONTH(JulSun1+7)=7),JulSun1+7,""),IF(AND(YEAR(JulSun1+14)=CalendarYear,MONTH(JulSun1+14)=7),JulSun1+14,""))</f>
        <v>44751</v>
      </c>
      <c r="Z17" s="72">
        <f>IF(DAY(AugSun1)=1,IF(AND(YEAR(AugSun1+1)=CalendarYear,MONTH(AugSun1+1)=8),AugSun1+1,""),IF(AND(YEAR(AugSun1+8)=CalendarYear,MONTH(AugSun1+8)=8),AugSun1+8,""))</f>
        <v>44780</v>
      </c>
      <c r="AA17" s="72">
        <f>IF(DAY(AugSun1)=1,IF(AND(YEAR(AugSun1+2)=CalendarYear,MONTH(AugSun1+2)=8),AugSun1+2,""),IF(AND(YEAR(AugSun1+9)=CalendarYear,MONTH(AugSun1+9)=8),AugSun1+9,""))</f>
        <v>44781</v>
      </c>
      <c r="AB17" s="72">
        <f>IF(DAY(AugSun1)=1,IF(AND(YEAR(AugSun1+3)=CalendarYear,MONTH(AugSun1+3)=8),AugSun1+3,""),IF(AND(YEAR(AugSun1+10)=CalendarYear,MONTH(AugSun1+10)=8),AugSun1+10,""))</f>
        <v>44782</v>
      </c>
      <c r="AC17" s="85">
        <f>IF(DAY(AugSun1)=1,IF(AND(YEAR(AugSun1+4)=CalendarYear,MONTH(AugSun1+4)=8),AugSun1+4,""),IF(AND(YEAR(AugSun1+11)=CalendarYear,MONTH(AugSun1+11)=8),AugSun1+11,""))</f>
        <v>44783</v>
      </c>
      <c r="AD17" s="73">
        <f>IF(DAY(AugSun1)=1,IF(AND(YEAR(AugSun1+5)=CalendarYear,MONTH(AugSun1+5)=8),AugSun1+5,""),IF(AND(YEAR(AugSun1+12)=CalendarYear,MONTH(AugSun1+12)=8),AugSun1+12,""))</f>
        <v>44784</v>
      </c>
      <c r="AE17" s="74">
        <f>IF(DAY(AugSun1)=1,IF(AND(YEAR(AugSun1+6)=CalendarYear,MONTH(AugSun1+6)=8),AugSun1+6,""),IF(AND(YEAR(AugSun1+13)=CalendarYear,MONTH(AugSun1+13)=8),AugSun1+13,""))</f>
        <v>44785</v>
      </c>
      <c r="AF17" s="74">
        <f>IF(DAY(AugSun1)=1,IF(AND(YEAR(AugSun1+7)=CalendarYear,MONTH(AugSun1+7)=8),AugSun1+7,""),IF(AND(YEAR(AugSun1+14)=CalendarYear,MONTH(AugSun1+14)=8),AugSun1+14,""))</f>
        <v>44786</v>
      </c>
    </row>
    <row r="18" spans="2:32" s="71" customFormat="1" ht="26.1" customHeight="1" x14ac:dyDescent="0.3">
      <c r="B18" s="73">
        <f>IF(DAY(MaySun1)=1,IF(AND(YEAR(MaySun1+8)=CalendarYear,MONTH(MaySun1+8)=5),MaySun1+8,""),IF(AND(YEAR(MaySun1+15)=CalendarYear,MONTH(MaySun1+15)=5),MaySun1+15,""))</f>
        <v>44696</v>
      </c>
      <c r="C18" s="73">
        <f>IF(DAY(MaySun1)=1,IF(AND(YEAR(MaySun1+9)=CalendarYear,MONTH(MaySun1+9)=5),MaySun1+9,""),IF(AND(YEAR(MaySun1+16)=CalendarYear,MONTH(MaySun1+16)=5),MaySun1+16,""))</f>
        <v>44697</v>
      </c>
      <c r="D18" s="72">
        <f>IF(DAY(MaySun1)=1,IF(AND(YEAR(MaySun1+10)=CalendarYear,MONTH(MaySun1+10)=5),MaySun1+10,""),IF(AND(YEAR(MaySun1+17)=CalendarYear,MONTH(MaySun1+17)=5),MaySun1+17,""))</f>
        <v>44698</v>
      </c>
      <c r="E18" s="72">
        <f>IF(DAY(MaySun1)=1,IF(AND(YEAR(MaySun1+11)=CalendarYear,MONTH(MaySun1+11)=5),MaySun1+11,""),IF(AND(YEAR(MaySun1+18)=CalendarYear,MONTH(MaySun1+18)=5),MaySun1+18,""))</f>
        <v>44699</v>
      </c>
      <c r="F18" s="75">
        <f>IF(DAY(MaySun1)=1,IF(AND(YEAR(MaySun1+12)=CalendarYear,MONTH(MaySun1+12)=5),MaySun1+12,""),IF(AND(YEAR(MaySun1+19)=CalendarYear,MONTH(MaySun1+19)=5),MaySun1+19,""))</f>
        <v>44700</v>
      </c>
      <c r="G18" s="75">
        <f>IF(DAY(MaySun1)=1,IF(AND(YEAR(MaySun1+13)=CalendarYear,MONTH(MaySun1+13)=5),MaySun1+13,""),IF(AND(YEAR(MaySun1+20)=CalendarYear,MONTH(MaySun1+20)=5),MaySun1+20,""))</f>
        <v>44701</v>
      </c>
      <c r="H18" s="73">
        <f>IF(DAY(MaySun1)=1,IF(AND(YEAR(MaySun1+14)=CalendarYear,MONTH(MaySun1+14)=5),MaySun1+14,""),IF(AND(YEAR(MaySun1+21)=CalendarYear,MONTH(MaySun1+21)=5),MaySun1+21,""))</f>
        <v>44702</v>
      </c>
      <c r="J18" s="73">
        <f>IF(DAY(JunSun1)=1,IF(AND(YEAR(JunSun1+8)=CalendarYear,MONTH(JunSun1+8)=6),JunSun1+8,""),IF(AND(YEAR(JunSun1+15)=CalendarYear,MONTH(JunSun1+15)=6),JunSun1+15,""))</f>
        <v>44724</v>
      </c>
      <c r="K18" s="114">
        <f>IF(DAY(JunSun1)=1,IF(AND(YEAR(JunSun1+9)=CalendarYear,MONTH(JunSun1+9)=6),JunSun1+9,""),IF(AND(YEAR(JunSun1+16)=CalendarYear,MONTH(JunSun1+16)=6),JunSun1+16,""))</f>
        <v>44725</v>
      </c>
      <c r="L18" s="72">
        <f>IF(DAY(JunSun1)=1,IF(AND(YEAR(JunSun1+10)=CalendarYear,MONTH(JunSun1+10)=6),JunSun1+10,""),IF(AND(YEAR(JunSun1+17)=CalendarYear,MONTH(JunSun1+17)=6),JunSun1+17,""))</f>
        <v>44726</v>
      </c>
      <c r="M18" s="72">
        <f>IF(DAY(JunSun1)=1,IF(AND(YEAR(JunSun1+11)=CalendarYear,MONTH(JunSun1+11)=6),JunSun1+11,""),IF(AND(YEAR(JunSun1+18)=CalendarYear,MONTH(JunSun1+18)=6),JunSun1+18,""))</f>
        <v>44727</v>
      </c>
      <c r="N18" s="75">
        <f>IF(DAY(JunSun1)=1,IF(AND(YEAR(JunSun1+12)=CalendarYear,MONTH(JunSun1+12)=6),JunSun1+12,""),IF(AND(YEAR(JunSun1+19)=CalendarYear,MONTH(JunSun1+19)=6),JunSun1+19,""))</f>
        <v>44728</v>
      </c>
      <c r="O18" s="75">
        <f>IF(DAY(JunSun1)=1,IF(AND(YEAR(JunSun1+13)=CalendarYear,MONTH(JunSun1+13)=6),JunSun1+13,""),IF(AND(YEAR(JunSun1+20)=CalendarYear,MONTH(JunSun1+20)=6),JunSun1+20,""))</f>
        <v>44729</v>
      </c>
      <c r="P18" s="73">
        <f>IF(DAY(JunSun1)=1,IF(AND(YEAR(JunSun1+14)=CalendarYear,MONTH(JunSun1+14)=6),JunSun1+14,""),IF(AND(YEAR(JunSun1+21)=CalendarYear,MONTH(JunSun1+21)=6),JunSun1+21,""))</f>
        <v>44730</v>
      </c>
      <c r="R18" s="80">
        <f>IF(DAY(JulSun1)=1,IF(AND(YEAR(JulSun1+8)=CalendarYear,MONTH(JulSun1+8)=7),JulSun1+8,""),IF(AND(YEAR(JulSun1+15)=CalendarYear,MONTH(JulSun1+15)=7),JulSun1+15,""))</f>
        <v>44752</v>
      </c>
      <c r="S18" s="73">
        <f>IF(DAY(JulSun1)=1,IF(AND(YEAR(JulSun1+9)=CalendarYear,MONTH(JulSun1+9)=7),JulSun1+9,""),IF(AND(YEAR(JulSun1+16)=CalendarYear,MONTH(JulSun1+16)=7),JulSun1+16,""))</f>
        <v>44753</v>
      </c>
      <c r="T18" s="72">
        <f>IF(DAY(JulSun1)=1,IF(AND(YEAR(JulSun1+10)=CalendarYear,MONTH(JulSun1+10)=7),JulSun1+10,""),IF(AND(YEAR(JulSun1+17)=CalendarYear,MONTH(JulSun1+17)=7),JulSun1+17,""))</f>
        <v>44754</v>
      </c>
      <c r="U18" s="72">
        <f>IF(DAY(JulSun1)=1,IF(AND(YEAR(JulSun1+11)=CalendarYear,MONTH(JulSun1+11)=7),JulSun1+11,""),IF(AND(YEAR(JulSun1+18)=CalendarYear,MONTH(JulSun1+18)=7),JulSun1+18,""))</f>
        <v>44755</v>
      </c>
      <c r="V18" s="75">
        <f>IF(DAY(JulSun1)=1,IF(AND(YEAR(JulSun1+12)=CalendarYear,MONTH(JulSun1+12)=7),JulSun1+12,""),IF(AND(YEAR(JulSun1+19)=CalendarYear,MONTH(JulSun1+19)=7),JulSun1+19,""))</f>
        <v>44756</v>
      </c>
      <c r="W18" s="75">
        <f>IF(DAY(JulSun1)=1,IF(AND(YEAR(JulSun1+13)=CalendarYear,MONTH(JulSun1+13)=7),JulSun1+13,""),IF(AND(YEAR(JulSun1+20)=CalendarYear,MONTH(JulSun1+20)=7),JulSun1+20,""))</f>
        <v>44757</v>
      </c>
      <c r="X18" s="73">
        <f>IF(DAY(JulSun1)=1,IF(AND(YEAR(JulSun1+14)=CalendarYear,MONTH(JulSun1+14)=7),JulSun1+14,""),IF(AND(YEAR(JulSun1+21)=CalendarYear,MONTH(JulSun1+21)=7),JulSun1+21,""))</f>
        <v>44758</v>
      </c>
      <c r="Z18" s="73">
        <f>IF(DAY(AugSun1)=1,IF(AND(YEAR(AugSun1+8)=CalendarYear,MONTH(AugSun1+8)=8),AugSun1+8,""),IF(AND(YEAR(AugSun1+15)=CalendarYear,MONTH(AugSun1+15)=8),AugSun1+15,""))</f>
        <v>44787</v>
      </c>
      <c r="AA18" s="73">
        <f>IF(DAY(AugSun1)=1,IF(AND(YEAR(AugSun1+9)=CalendarYear,MONTH(AugSun1+9)=8),AugSun1+9,""),IF(AND(YEAR(AugSun1+16)=CalendarYear,MONTH(AugSun1+16)=8),AugSun1+16,""))</f>
        <v>44788</v>
      </c>
      <c r="AB18" s="72">
        <f>IF(DAY(AugSun1)=1,IF(AND(YEAR(AugSun1+10)=CalendarYear,MONTH(AugSun1+10)=8),AugSun1+10,""),IF(AND(YEAR(AugSun1+17)=CalendarYear,MONTH(AugSun1+17)=8),AugSun1+17,""))</f>
        <v>44789</v>
      </c>
      <c r="AC18" s="72">
        <f>IF(DAY(AugSun1)=1,IF(AND(YEAR(AugSun1+11)=CalendarYear,MONTH(AugSun1+11)=8),AugSun1+11,""),IF(AND(YEAR(AugSun1+18)=CalendarYear,MONTH(AugSun1+18)=8),AugSun1+18,""))</f>
        <v>44790</v>
      </c>
      <c r="AD18" s="75">
        <f>IF(DAY(AugSun1)=1,IF(AND(YEAR(AugSun1+12)=CalendarYear,MONTH(AugSun1+12)=8),AugSun1+12,""),IF(AND(YEAR(AugSun1+19)=CalendarYear,MONTH(AugSun1+19)=8),AugSun1+19,""))</f>
        <v>44791</v>
      </c>
      <c r="AE18" s="125">
        <f>IF(DAY(AugSun1)=1,IF(AND(YEAR(AugSun1+13)=CalendarYear,MONTH(AugSun1+13)=8),AugSun1+13,""),IF(AND(YEAR(AugSun1+20)=CalendarYear,MONTH(AugSun1+20)=8),AugSun1+20,""))</f>
        <v>44792</v>
      </c>
      <c r="AF18" s="73">
        <f>IF(DAY(AugSun1)=1,IF(AND(YEAR(AugSun1+14)=CalendarYear,MONTH(AugSun1+14)=8),AugSun1+14,""),IF(AND(YEAR(AugSun1+21)=CalendarYear,MONTH(AugSun1+21)=8),AugSun1+21,""))</f>
        <v>44793</v>
      </c>
    </row>
    <row r="19" spans="2:32" s="71" customFormat="1" ht="26.1" customHeight="1" x14ac:dyDescent="0.3">
      <c r="B19" s="74">
        <f>IF(DAY(MaySun1)=1,IF(AND(YEAR(MaySun1+15)=CalendarYear,MONTH(MaySun1+15)=5),MaySun1+15,""),IF(AND(YEAR(MaySun1+22)=CalendarYear,MONTH(MaySun1+22)=5),MaySun1+22,""))</f>
        <v>44703</v>
      </c>
      <c r="C19" s="84">
        <f>IF(DAY(MaySun1)=1,IF(AND(YEAR(MaySun1+16)=CalendarYear,MONTH(MaySun1+16)=5),MaySun1+16,""),IF(AND(YEAR(MaySun1+23)=CalendarYear,MONTH(MaySun1+23)=5),MaySun1+23,""))</f>
        <v>44704</v>
      </c>
      <c r="D19" s="74">
        <f>IF(DAY(MaySun1)=1,IF(AND(YEAR(MaySun1+17)=CalendarYear,MONTH(MaySun1+17)=5),MaySun1+17,""),IF(AND(YEAR(MaySun1+24)=CalendarYear,MONTH(MaySun1+24)=5),MaySun1+24,""))</f>
        <v>44705</v>
      </c>
      <c r="E19" s="73">
        <f>IF(DAY(MaySun1)=1,IF(AND(YEAR(MaySun1+18)=CalendarYear,MONTH(MaySun1+18)=5),MaySun1+18,""),IF(AND(YEAR(MaySun1+25)=CalendarYear,MONTH(MaySun1+25)=5),MaySun1+25,""))</f>
        <v>44706</v>
      </c>
      <c r="F19" s="76">
        <f>IF(DAY(MaySun1)=1,IF(AND(YEAR(MaySun1+19)=CalendarYear,MONTH(MaySun1+19)=5),MaySun1+19,""),IF(AND(YEAR(MaySun1+26)=CalendarYear,MONTH(MaySun1+26)=5),MaySun1+26,""))</f>
        <v>44707</v>
      </c>
      <c r="G19" s="73">
        <f>IF(DAY(MaySun1)=1,IF(AND(YEAR(MaySun1+20)=CalendarYear,MONTH(MaySun1+20)=5),MaySun1+20,""),IF(AND(YEAR(MaySun1+27)=CalendarYear,MONTH(MaySun1+27)=5),MaySun1+27,""))</f>
        <v>44708</v>
      </c>
      <c r="H19" s="73">
        <f>IF(DAY(MaySun1)=1,IF(AND(YEAR(MaySun1+21)=CalendarYear,MONTH(MaySun1+21)=5),MaySun1+21,""),IF(AND(YEAR(MaySun1+28)=CalendarYear,MONTH(MaySun1+28)=5),MaySun1+28,""))</f>
        <v>44709</v>
      </c>
      <c r="J19" s="74">
        <f>IF(DAY(JunSun1)=1,IF(AND(YEAR(JunSun1+15)=CalendarYear,MONTH(JunSun1+15)=6),JunSun1+15,""),IF(AND(YEAR(JunSun1+22)=CalendarYear,MONTH(JunSun1+22)=6),JunSun1+22,""))</f>
        <v>44731</v>
      </c>
      <c r="K19" s="74">
        <f>IF(DAY(JunSun1)=1,IF(AND(YEAR(JunSun1+16)=CalendarYear,MONTH(JunSun1+16)=6),JunSun1+16,""),IF(AND(YEAR(JunSun1+23)=CalendarYear,MONTH(JunSun1+23)=6),JunSun1+23,""))</f>
        <v>44732</v>
      </c>
      <c r="L19" s="74">
        <f>IF(DAY(JunSun1)=1,IF(AND(YEAR(JunSun1+17)=CalendarYear,MONTH(JunSun1+17)=6),JunSun1+17,""),IF(AND(YEAR(JunSun1+24)=CalendarYear,MONTH(JunSun1+24)=6),JunSun1+24,""))</f>
        <v>44733</v>
      </c>
      <c r="M19" s="73">
        <f>IF(DAY(JunSun1)=1,IF(AND(YEAR(JunSun1+18)=CalendarYear,MONTH(JunSun1+18)=6),JunSun1+18,""),IF(AND(YEAR(JunSun1+25)=CalendarYear,MONTH(JunSun1+25)=6),JunSun1+25,""))</f>
        <v>44734</v>
      </c>
      <c r="N19" s="83">
        <f>IF(DAY(JunSun1)=1,IF(AND(YEAR(JunSun1+19)=CalendarYear,MONTH(JunSun1+19)=6),JunSun1+19,""),IF(AND(YEAR(JunSun1+26)=CalendarYear,MONTH(JunSun1+26)=6),JunSun1+26,""))</f>
        <v>44735</v>
      </c>
      <c r="O19" s="80">
        <f>IF(DAY(JunSun1)=1,IF(AND(YEAR(JunSun1+20)=CalendarYear,MONTH(JunSun1+20)=6),JunSun1+20,""),IF(AND(YEAR(JunSun1+27)=CalendarYear,MONTH(JunSun1+27)=6),JunSun1+27,""))</f>
        <v>44736</v>
      </c>
      <c r="P19" s="73">
        <f>IF(DAY(JunSun1)=1,IF(AND(YEAR(JunSun1+21)=CalendarYear,MONTH(JunSun1+21)=6),JunSun1+21,""),IF(AND(YEAR(JunSun1+28)=CalendarYear,MONTH(JunSun1+28)=6),JunSun1+28,""))</f>
        <v>44737</v>
      </c>
      <c r="R19" s="74">
        <f>IF(DAY(JulSun1)=1,IF(AND(YEAR(JulSun1+15)=CalendarYear,MONTH(JulSun1+15)=7),JulSun1+15,""),IF(AND(YEAR(JulSun1+22)=CalendarYear,MONTH(JulSun1+22)=7),JulSun1+22,""))</f>
        <v>44759</v>
      </c>
      <c r="S19" s="74">
        <f>IF(DAY(JulSun1)=1,IF(AND(YEAR(JulSun1+16)=CalendarYear,MONTH(JulSun1+16)=7),JulSun1+16,""),IF(AND(YEAR(JulSun1+23)=CalendarYear,MONTH(JulSun1+23)=7),JulSun1+23,""))</f>
        <v>44760</v>
      </c>
      <c r="T19" s="74">
        <f>IF(DAY(JulSun1)=1,IF(AND(YEAR(JulSun1+17)=CalendarYear,MONTH(JulSun1+17)=7),JulSun1+17,""),IF(AND(YEAR(JulSun1+24)=CalendarYear,MONTH(JulSun1+24)=7),JulSun1+24,""))</f>
        <v>44761</v>
      </c>
      <c r="U19" s="73">
        <f>IF(DAY(JulSun1)=1,IF(AND(YEAR(JulSun1+18)=CalendarYear,MONTH(JulSun1+18)=7),JulSun1+18,""),IF(AND(YEAR(JulSun1+25)=CalendarYear,MONTH(JulSun1+25)=7),JulSun1+25,""))</f>
        <v>44762</v>
      </c>
      <c r="V19" s="76">
        <f>IF(DAY(JulSun1)=1,IF(AND(YEAR(JulSun1+19)=CalendarYear,MONTH(JulSun1+19)=7),JulSun1+19,""),IF(AND(YEAR(JulSun1+26)=CalendarYear,MONTH(JulSun1+26)=7),JulSun1+26,""))</f>
        <v>44763</v>
      </c>
      <c r="W19" s="73">
        <f>IF(DAY(JulSun1)=1,IF(AND(YEAR(JulSun1+20)=CalendarYear,MONTH(JulSun1+20)=7),JulSun1+20,""),IF(AND(YEAR(JulSun1+27)=CalendarYear,MONTH(JulSun1+27)=7),JulSun1+27,""))</f>
        <v>44764</v>
      </c>
      <c r="X19" s="94">
        <f>IF(DAY(JulSun1)=1,IF(AND(YEAR(JulSun1+21)=CalendarYear,MONTH(JulSun1+21)=7),JulSun1+21,""),IF(AND(YEAR(JulSun1+28)=CalendarYear,MONTH(JulSun1+28)=7),JulSun1+28,""))</f>
        <v>44765</v>
      </c>
      <c r="Z19" s="74">
        <f>IF(DAY(AugSun1)=1,IF(AND(YEAR(AugSun1+15)=CalendarYear,MONTH(AugSun1+15)=8),AugSun1+15,""),IF(AND(YEAR(AugSun1+22)=CalendarYear,MONTH(AugSun1+22)=8),AugSun1+22,""))</f>
        <v>44794</v>
      </c>
      <c r="AA19" s="84">
        <f>IF(DAY(AugSun1)=1,IF(AND(YEAR(AugSun1+16)=CalendarYear,MONTH(AugSun1+16)=8),AugSun1+16,""),IF(AND(YEAR(AugSun1+23)=CalendarYear,MONTH(AugSun1+23)=8),AugSun1+23,""))</f>
        <v>44795</v>
      </c>
      <c r="AB19" s="74">
        <f>IF(DAY(AugSun1)=1,IF(AND(YEAR(AugSun1+17)=CalendarYear,MONTH(AugSun1+17)=8),AugSun1+17,""),IF(AND(YEAR(AugSun1+24)=CalendarYear,MONTH(AugSun1+24)=8),AugSun1+24,""))</f>
        <v>44796</v>
      </c>
      <c r="AC19" s="73">
        <f>IF(DAY(AugSun1)=1,IF(AND(YEAR(AugSun1+18)=CalendarYear,MONTH(AugSun1+18)=8),AugSun1+18,""),IF(AND(YEAR(AugSun1+25)=CalendarYear,MONTH(AugSun1+25)=8),AugSun1+25,""))</f>
        <v>44797</v>
      </c>
      <c r="AD19" s="128">
        <f>IF(DAY(AugSun1)=1,IF(AND(YEAR(AugSun1+19)=CalendarYear,MONTH(AugSun1+19)=8),AugSun1+19,""),IF(AND(YEAR(AugSun1+26)=CalendarYear,MONTH(AugSun1+26)=8),AugSun1+26,""))</f>
        <v>44798</v>
      </c>
      <c r="AE19" s="85">
        <f>IF(DAY(AugSun1)=1,IF(AND(YEAR(AugSun1+20)=CalendarYear,MONTH(AugSun1+20)=8),AugSun1+20,""),IF(AND(YEAR(AugSun1+27)=CalendarYear,MONTH(AugSun1+27)=8),AugSun1+27,""))</f>
        <v>44799</v>
      </c>
      <c r="AF19" s="73">
        <f>IF(DAY(AugSun1)=1,IF(AND(YEAR(AugSun1+21)=CalendarYear,MONTH(AugSun1+21)=8),AugSun1+21,""),IF(AND(YEAR(AugSun1+28)=CalendarYear,MONTH(AugSun1+28)=8),AugSun1+28,""))</f>
        <v>44800</v>
      </c>
    </row>
    <row r="20" spans="2:32" s="71" customFormat="1" ht="26.1" customHeight="1" x14ac:dyDescent="0.3">
      <c r="B20" s="72">
        <f>IF(DAY(MaySun1)=1,IF(AND(YEAR(MaySun1+22)=CalendarYear,MONTH(MaySun1+22)=5),MaySun1+22,""),IF(AND(YEAR(MaySun1+29)=CalendarYear,MONTH(MaySun1+29)=5),MaySun1+29,""))</f>
        <v>44710</v>
      </c>
      <c r="C20" s="72">
        <f>IF(DAY(MaySun1)=1,IF(AND(YEAR(MaySun1+23)=CalendarYear,MONTH(MaySun1+23)=5),MaySun1+23,""),IF(AND(YEAR(MaySun1+30)=CalendarYear,MONTH(MaySun1+30)=5),MaySun1+30,""))</f>
        <v>44711</v>
      </c>
      <c r="D20" s="77">
        <f>IF(DAY(MaySun1)=1,IF(AND(YEAR(MaySun1+24)=CalendarYear,MONTH(MaySun1+24)=5),MaySun1+24,""),IF(AND(YEAR(MaySun1+31)=CalendarYear,MONTH(MaySun1+31)=5),MaySun1+31,""))</f>
        <v>44712</v>
      </c>
      <c r="E20" s="77" t="str">
        <f>IF(DAY(MaySun1)=1,IF(AND(YEAR(MaySun1+25)=CalendarYear,MONTH(MaySun1+25)=5),MaySun1+25,""),IF(AND(YEAR(MaySun1+32)=CalendarYear,MONTH(MaySun1+32)=5),MaySun1+32,""))</f>
        <v/>
      </c>
      <c r="F20" s="77" t="str">
        <f>IF(DAY(MaySun1)=1,IF(AND(YEAR(MaySun1+26)=CalendarYear,MONTH(MaySun1+26)=5),MaySun1+26,""),IF(AND(YEAR(MaySun1+33)=CalendarYear,MONTH(MaySun1+33)=5),MaySun1+33,""))</f>
        <v/>
      </c>
      <c r="G20" s="78" t="str">
        <f>IF(DAY(MaySun1)=1,IF(AND(YEAR(MaySun1+27)=CalendarYear,MONTH(MaySun1+27)=5),MaySun1+27,""),IF(AND(YEAR(MaySun1+34)=CalendarYear,MONTH(MaySun1+34)=5),MaySun1+34,""))</f>
        <v/>
      </c>
      <c r="H20" s="78" t="str">
        <f>IF(DAY(MaySun1)=1,IF(AND(YEAR(MaySun1+28)=CalendarYear,MONTH(MaySun1+28)=5),MaySun1+28,""),IF(AND(YEAR(MaySun1+35)=CalendarYear,MONTH(MaySun1+35)=5),MaySun1+35,""))</f>
        <v/>
      </c>
      <c r="J20" s="72">
        <f>IF(DAY(JunSun1)=1,IF(AND(YEAR(JunSun1+22)=CalendarYear,MONTH(JunSun1+22)=6),JunSun1+22,""),IF(AND(YEAR(JunSun1+29)=CalendarYear,MONTH(JunSun1+29)=6),JunSun1+29,""))</f>
        <v>44738</v>
      </c>
      <c r="K20" s="72">
        <f>IF(DAY(JunSun1)=1,IF(AND(YEAR(JunSun1+23)=CalendarYear,MONTH(JunSun1+23)=6),JunSun1+23,""),IF(AND(YEAR(JunSun1+30)=CalendarYear,MONTH(JunSun1+30)=6),JunSun1+30,""))</f>
        <v>44739</v>
      </c>
      <c r="L20" s="77">
        <f>IF(DAY(JunSun1)=1,IF(AND(YEAR(JunSun1+24)=CalendarYear,MONTH(JunSun1+24)=6),JunSun1+24,""),IF(AND(YEAR(JunSun1+31)=CalendarYear,MONTH(JunSun1+31)=6),JunSun1+31,""))</f>
        <v>44740</v>
      </c>
      <c r="M20" s="77">
        <f>IF(DAY(JunSun1)=1,IF(AND(YEAR(JunSun1+25)=CalendarYear,MONTH(JunSun1+25)=6),JunSun1+25,""),IF(AND(YEAR(JunSun1+32)=CalendarYear,MONTH(JunSun1+32)=6),JunSun1+32,""))</f>
        <v>44741</v>
      </c>
      <c r="N20" s="116">
        <f>IF(DAY(JunSun1)=1,IF(AND(YEAR(JunSun1+26)=CalendarYear,MONTH(JunSun1+26)=6),JunSun1+26,""),IF(AND(YEAR(JunSun1+33)=CalendarYear,MONTH(JunSun1+33)=6),JunSun1+33,""))</f>
        <v>44742</v>
      </c>
      <c r="O20" s="78" t="str">
        <f>IF(DAY(JunSun1)=1,IF(AND(YEAR(JunSun1+27)=CalendarYear,MONTH(JunSun1+27)=6),JunSun1+27,""),IF(AND(YEAR(JunSun1+34)=CalendarYear,MONTH(JunSun1+34)=6),JunSun1+34,""))</f>
        <v/>
      </c>
      <c r="P20" s="78" t="str">
        <f>IF(DAY(JunSun1)=1,IF(AND(YEAR(JunSun1+28)=CalendarYear,MONTH(JunSun1+28)=6),JunSun1+28,""),IF(AND(YEAR(JunSun1+35)=CalendarYear,MONTH(JunSun1+35)=6),JunSun1+35,""))</f>
        <v/>
      </c>
      <c r="R20" s="72">
        <f>IF(DAY(JulSun1)=1,IF(AND(YEAR(JulSun1+22)=CalendarYear,MONTH(JulSun1+22)=7),JulSun1+22,""),IF(AND(YEAR(JulSun1+29)=CalendarYear,MONTH(JulSun1+29)=7),JulSun1+29,""))</f>
        <v>44766</v>
      </c>
      <c r="S20" s="72">
        <f>IF(DAY(JulSun1)=1,IF(AND(YEAR(JulSun1+23)=CalendarYear,MONTH(JulSun1+23)=7),JulSun1+23,""),IF(AND(YEAR(JulSun1+30)=CalendarYear,MONTH(JulSun1+30)=7),JulSun1+30,""))</f>
        <v>44767</v>
      </c>
      <c r="T20" s="77">
        <f>IF(DAY(JulSun1)=1,IF(AND(YEAR(JulSun1+24)=CalendarYear,MONTH(JulSun1+24)=7),JulSun1+24,""),IF(AND(YEAR(JulSun1+31)=CalendarYear,MONTH(JulSun1+31)=7),JulSun1+31,""))</f>
        <v>44768</v>
      </c>
      <c r="U20" s="77">
        <f>IF(DAY(JulSun1)=1,IF(AND(YEAR(JulSun1+25)=CalendarYear,MONTH(JulSun1+25)=7),JulSun1+25,""),IF(AND(YEAR(JulSun1+32)=CalendarYear,MONTH(JulSun1+32)=7),JulSun1+32,""))</f>
        <v>44769</v>
      </c>
      <c r="V20" s="77">
        <f>IF(DAY(JulSun1)=1,IF(AND(YEAR(JulSun1+26)=CalendarYear,MONTH(JulSun1+26)=7),JulSun1+26,""),IF(AND(YEAR(JulSun1+33)=CalendarYear,MONTH(JulSun1+33)=7),JulSun1+33,""))</f>
        <v>44770</v>
      </c>
      <c r="W20" s="78">
        <f>IF(DAY(JulSun1)=1,IF(AND(YEAR(JulSun1+27)=CalendarYear,MONTH(JulSun1+27)=7),JulSun1+27,""),IF(AND(YEAR(JulSun1+34)=CalendarYear,MONTH(JulSun1+34)=7),JulSun1+34,""))</f>
        <v>44771</v>
      </c>
      <c r="X20" s="78">
        <f>IF(DAY(JulSun1)=1,IF(AND(YEAR(JulSun1+28)=CalendarYear,MONTH(JulSun1+28)=7),JulSun1+28,""),IF(AND(YEAR(JulSun1+35)=CalendarYear,MONTH(JulSun1+35)=7),JulSun1+35,""))</f>
        <v>44772</v>
      </c>
      <c r="Z20" s="72">
        <f>IF(DAY(AugSun1)=1,IF(AND(YEAR(AugSun1+22)=CalendarYear,MONTH(AugSun1+22)=8),AugSun1+22,""),IF(AND(YEAR(AugSun1+29)=CalendarYear,MONTH(AugSun1+29)=8),AugSun1+29,""))</f>
        <v>44801</v>
      </c>
      <c r="AA20" s="86">
        <f>IF(DAY(AugSun1)=1,IF(AND(YEAR(AugSun1+23)=CalendarYear,MONTH(AugSun1+23)=8),AugSun1+23,""),IF(AND(YEAR(AugSun1+30)=CalendarYear,MONTH(AugSun1+30)=8),AugSun1+30,""))</f>
        <v>44802</v>
      </c>
      <c r="AB20" s="116">
        <f>IF(DAY(AugSun1)=1,IF(AND(YEAR(AugSun1+24)=CalendarYear,MONTH(AugSun1+24)=8),AugSun1+24,""),IF(AND(YEAR(AugSun1+31)=CalendarYear,MONTH(AugSun1+31)=8),AugSun1+31,""))</f>
        <v>44803</v>
      </c>
      <c r="AC20" s="77">
        <f>IF(DAY(AugSun1)=1,IF(AND(YEAR(AugSun1+25)=CalendarYear,MONTH(AugSun1+25)=8),AugSun1+25,""),IF(AND(YEAR(AugSun1+32)=CalendarYear,MONTH(AugSun1+32)=8),AugSun1+32,""))</f>
        <v>44804</v>
      </c>
      <c r="AD20" s="77" t="str">
        <f>IF(DAY(AugSun1)=1,IF(AND(YEAR(AugSun1+26)=CalendarYear,MONTH(AugSun1+26)=8),AugSun1+26,""),IF(AND(YEAR(AugSun1+33)=CalendarYear,MONTH(AugSun1+33)=8),AugSun1+33,""))</f>
        <v/>
      </c>
      <c r="AE20" s="78" t="str">
        <f>IF(DAY(AugSun1)=1,IF(AND(YEAR(AugSun1+27)=CalendarYear,MONTH(AugSun1+27)=8),AugSun1+27,""),IF(AND(YEAR(AugSun1+34)=CalendarYear,MONTH(AugSun1+34)=8),AugSun1+34,""))</f>
        <v/>
      </c>
      <c r="AF20" s="78" t="str">
        <f>IF(DAY(AugSun1)=1,IF(AND(YEAR(AugSun1+28)=CalendarYear,MONTH(AugSun1+28)=8),AugSun1+28,""),IF(AND(YEAR(AugSun1+35)=CalendarYear,MONTH(AugSun1+35)=8),AugSun1+35,""))</f>
        <v/>
      </c>
    </row>
    <row r="21" spans="2:32" s="71" customFormat="1" ht="26.1" customHeight="1" x14ac:dyDescent="0.3">
      <c r="B21" s="72" t="str">
        <f>IF(DAY(MaySun1)=1,IF(AND(YEAR(MaySun1+29)=CalendarYear,MONTH(MaySun1+29)=5),MaySun1+29,""),IF(AND(YEAR(MaySun1+36)=CalendarYear,MONTH(MaySun1+36)=5),MaySun1+36,""))</f>
        <v/>
      </c>
      <c r="C21" s="72" t="str">
        <f>IF(DAY(MaySun1)=1,IF(AND(YEAR(MaySun1+30)=CalendarYear,MONTH(MaySun1+30)=5),MaySun1+30,""),IF(AND(YEAR(MaySun1+37)=CalendarYear,MONTH(MaySun1+37)=5),MaySun1+37,""))</f>
        <v/>
      </c>
      <c r="D21" s="77" t="str">
        <f>IF(DAY(MaySun1)=1,IF(AND(YEAR(MaySun1+31)=CalendarYear,MONTH(MaySun1+31)=5),MaySun1+31,""),IF(AND(YEAR(MaySun1+38)=CalendarYear,MONTH(MaySun1+38)=5),MaySun1+38,""))</f>
        <v/>
      </c>
      <c r="E21" s="77" t="str">
        <f>IF(DAY(MaySun1)=1,IF(AND(YEAR(MaySun1+32)=CalendarYear,MONTH(MaySun1+32)=5),MaySun1+32,""),IF(AND(YEAR(MaySun1+39)=CalendarYear,MONTH(MaySun1+39)=5),MaySun1+39,""))</f>
        <v/>
      </c>
      <c r="F21" s="77" t="str">
        <f>IF(DAY(MaySun1)=1,IF(AND(YEAR(MaySun1+33)=CalendarYear,MONTH(MaySun1+33)=5),MaySun1+33,""),IF(AND(YEAR(MaySun1+40)=CalendarYear,MONTH(MaySun1+40)=5),MaySun1+40,""))</f>
        <v/>
      </c>
      <c r="G21" s="78" t="str">
        <f>IF(DAY(MaySun1)=1,IF(AND(YEAR(MaySun1+34)=CalendarYear,MONTH(MaySun1+34)=5),MaySun1+34,""),IF(AND(YEAR(MaySun1+41)=CalendarYear,MONTH(MaySun1+41)=5),MaySun1+41,""))</f>
        <v/>
      </c>
      <c r="H21" s="78" t="str">
        <f>IF(DAY(MaySun1)=1,IF(AND(YEAR(MaySun1+35)=CalendarYear,MONTH(MaySun1+35)=5),MaySun1+35,""),IF(AND(YEAR(MaySun1+42)=CalendarYear,MONTH(MaySun1+42)=5),MaySun1+42,""))</f>
        <v/>
      </c>
      <c r="J21" s="72" t="str">
        <f>IF(DAY(JunSun1)=1,IF(AND(YEAR(JunSun1+29)=CalendarYear,MONTH(JunSun1+29)=6),JunSun1+29,""),IF(AND(YEAR(JunSun1+36)=CalendarYear,MONTH(JunSun1+36)=6),JunSun1+36,""))</f>
        <v/>
      </c>
      <c r="K21" s="72" t="str">
        <f>IF(DAY(JunSun1)=1,IF(AND(YEAR(JunSun1+30)=CalendarYear,MONTH(JunSun1+30)=6),JunSun1+30,""),IF(AND(YEAR(JunSun1+37)=CalendarYear,MONTH(JunSun1+37)=6),JunSun1+37,""))</f>
        <v/>
      </c>
      <c r="L21" s="77" t="str">
        <f>IF(DAY(JunSun1)=1,IF(AND(YEAR(JunSun1+31)=CalendarYear,MONTH(JunSun1+31)=6),JunSun1+31,""),IF(AND(YEAR(JunSun1+38)=CalendarYear,MONTH(JunSun1+38)=6),JunSun1+38,""))</f>
        <v/>
      </c>
      <c r="M21" s="77" t="str">
        <f>IF(DAY(JunSun1)=1,IF(AND(YEAR(JunSun1+32)=CalendarYear,MONTH(JunSun1+32)=6),JunSun1+32,""),IF(AND(YEAR(JunSun1+39)=CalendarYear,MONTH(JunSun1+39)=6),JunSun1+39,""))</f>
        <v/>
      </c>
      <c r="N21" s="77" t="str">
        <f>IF(DAY(JunSun1)=1,IF(AND(YEAR(JunSun1+33)=CalendarYear,MONTH(JunSun1+33)=6),JunSun1+33,""),IF(AND(YEAR(JunSun1+40)=CalendarYear,MONTH(JunSun1+40)=6),JunSun1+40,""))</f>
        <v/>
      </c>
      <c r="O21" s="78" t="str">
        <f>IF(DAY(JunSun1)=1,IF(AND(YEAR(JunSun1+34)=CalendarYear,MONTH(JunSun1+34)=6),JunSun1+34,""),IF(AND(YEAR(JunSun1+41)=CalendarYear,MONTH(JunSun1+41)=6),JunSun1+41,""))</f>
        <v/>
      </c>
      <c r="P21" s="78" t="str">
        <f>IF(DAY(JunSun1)=1,IF(AND(YEAR(JunSun1+35)=CalendarYear,MONTH(JunSun1+35)=6),JunSun1+35,""),IF(AND(YEAR(JunSun1+42)=CalendarYear,MONTH(JunSun1+42)=6),JunSun1+42,""))</f>
        <v/>
      </c>
      <c r="R21" s="120">
        <f>IF(DAY(JulSun1)=1,IF(AND(YEAR(JulSun1+29)=CalendarYear,MONTH(JulSun1+29)=7),JulSun1+29,""),IF(AND(YEAR(JulSun1+36)=CalendarYear,MONTH(JulSun1+36)=7),JulSun1+36,""))</f>
        <v>44773</v>
      </c>
      <c r="S21" s="72" t="str">
        <f>IF(DAY(JulSun1)=1,IF(AND(YEAR(JulSun1+30)=CalendarYear,MONTH(JulSun1+30)=7),JulSun1+30,""),IF(AND(YEAR(JulSun1+37)=CalendarYear,MONTH(JulSun1+37)=7),JulSun1+37,""))</f>
        <v/>
      </c>
      <c r="T21" s="77" t="str">
        <f>IF(DAY(JulSun1)=1,IF(AND(YEAR(JulSun1+31)=CalendarYear,MONTH(JulSun1+31)=7),JulSun1+31,""),IF(AND(YEAR(JulSun1+38)=CalendarYear,MONTH(JulSun1+38)=7),JulSun1+38,""))</f>
        <v/>
      </c>
      <c r="U21" s="77" t="str">
        <f>IF(DAY(JulSun1)=1,IF(AND(YEAR(JulSun1+32)=CalendarYear,MONTH(JulSun1+32)=7),JulSun1+32,""),IF(AND(YEAR(JulSun1+39)=CalendarYear,MONTH(JulSun1+39)=7),JulSun1+39,""))</f>
        <v/>
      </c>
      <c r="V21" s="77" t="str">
        <f>IF(DAY(JulSun1)=1,IF(AND(YEAR(JulSun1+33)=CalendarYear,MONTH(JulSun1+33)=7),JulSun1+33,""),IF(AND(YEAR(JulSun1+40)=CalendarYear,MONTH(JulSun1+40)=7),JulSun1+40,""))</f>
        <v/>
      </c>
      <c r="W21" s="78" t="str">
        <f>IF(DAY(JulSun1)=1,IF(AND(YEAR(JulSun1+34)=CalendarYear,MONTH(JulSun1+34)=7),JulSun1+34,""),IF(AND(YEAR(JulSun1+41)=CalendarYear,MONTH(JulSun1+41)=7),JulSun1+41,""))</f>
        <v/>
      </c>
      <c r="X21" s="78" t="str">
        <f>IF(DAY(JulSun1)=1,IF(AND(YEAR(JulSun1+35)=CalendarYear,MONTH(JulSun1+35)=7),JulSun1+35,""),IF(AND(YEAR(JulSun1+42)=CalendarYear,MONTH(JulSun1+42)=7),JulSun1+42,""))</f>
        <v/>
      </c>
      <c r="Z21" s="72" t="str">
        <f>IF(DAY(AugSun1)=1,IF(AND(YEAR(AugSun1+29)=CalendarYear,MONTH(AugSun1+29)=8),AugSun1+29,""),IF(AND(YEAR(AugSun1+36)=CalendarYear,MONTH(AugSun1+36)=8),AugSun1+36,""))</f>
        <v/>
      </c>
      <c r="AA21" s="72" t="str">
        <f>IF(DAY(AugSun1)=1,IF(AND(YEAR(AugSun1+30)=CalendarYear,MONTH(AugSun1+30)=8),AugSun1+30,""),IF(AND(YEAR(AugSun1+37)=CalendarYear,MONTH(AugSun1+37)=8),AugSun1+37,""))</f>
        <v/>
      </c>
      <c r="AB21" s="77" t="str">
        <f>IF(DAY(AugSun1)=1,IF(AND(YEAR(AugSun1+31)=CalendarYear,MONTH(AugSun1+31)=8),AugSun1+31,""),IF(AND(YEAR(AugSun1+38)=CalendarYear,MONTH(AugSun1+38)=8),AugSun1+38,""))</f>
        <v/>
      </c>
      <c r="AC21" s="77" t="str">
        <f>IF(DAY(AugSun1)=1,IF(AND(YEAR(AugSun1+32)=CalendarYear,MONTH(AugSun1+32)=8),AugSun1+32,""),IF(AND(YEAR(AugSun1+39)=CalendarYear,MONTH(AugSun1+39)=8),AugSun1+39,""))</f>
        <v/>
      </c>
      <c r="AD21" s="77" t="str">
        <f>IF(DAY(AugSun1)=1,IF(AND(YEAR(AugSun1+33)=CalendarYear,MONTH(AugSun1+33)=8),AugSun1+33,""),IF(AND(YEAR(AugSun1+40)=CalendarYear,MONTH(AugSun1+40)=8),AugSun1+40,""))</f>
        <v/>
      </c>
      <c r="AE21" s="78" t="str">
        <f>IF(DAY(AugSun1)=1,IF(AND(YEAR(AugSun1+34)=CalendarYear,MONTH(AugSun1+34)=8),AugSun1+34,""),IF(AND(YEAR(AugSun1+41)=CalendarYear,MONTH(AugSun1+41)=8),AugSun1+41,""))</f>
        <v/>
      </c>
      <c r="AF21" s="78" t="str">
        <f>IF(DAY(AugSun1)=1,IF(AND(YEAR(AugSun1+35)=CalendarYear,MONTH(AugSun1+35)=8),AugSun1+35,""),IF(AND(YEAR(AugSun1+42)=CalendarYear,MONTH(AugSun1+42)=8),AugSun1+42,""))</f>
        <v/>
      </c>
    </row>
    <row r="22" spans="2:32" s="79" customFormat="1" ht="18" customHeight="1" x14ac:dyDescent="0.3"/>
    <row r="23" spans="2:32" s="63" customFormat="1" ht="25.5" customHeight="1" x14ac:dyDescent="0.3">
      <c r="B23" s="157" t="s">
        <v>24</v>
      </c>
      <c r="C23" s="157"/>
      <c r="D23" s="157"/>
      <c r="E23" s="157"/>
      <c r="F23" s="157"/>
      <c r="G23" s="157"/>
      <c r="H23" s="157"/>
      <c r="J23" s="157" t="s">
        <v>25</v>
      </c>
      <c r="K23" s="157"/>
      <c r="L23" s="157"/>
      <c r="M23" s="157"/>
      <c r="N23" s="157"/>
      <c r="O23" s="157"/>
      <c r="P23" s="157"/>
      <c r="R23" s="157" t="s">
        <v>26</v>
      </c>
      <c r="S23" s="157"/>
      <c r="T23" s="157"/>
      <c r="U23" s="157"/>
      <c r="V23" s="157"/>
      <c r="W23" s="157"/>
      <c r="X23" s="157"/>
      <c r="Z23" s="157" t="s">
        <v>27</v>
      </c>
      <c r="AA23" s="157"/>
      <c r="AB23" s="157"/>
      <c r="AC23" s="157"/>
      <c r="AD23" s="157"/>
      <c r="AE23" s="157"/>
      <c r="AF23" s="157"/>
    </row>
    <row r="24" spans="2:32" s="67" customFormat="1" ht="26.1" customHeight="1" x14ac:dyDescent="0.25">
      <c r="B24" s="64" t="s">
        <v>13</v>
      </c>
      <c r="C24" s="65" t="s">
        <v>14</v>
      </c>
      <c r="D24" s="65" t="s">
        <v>15</v>
      </c>
      <c r="E24" s="65" t="s">
        <v>16</v>
      </c>
      <c r="F24" s="65" t="s">
        <v>17</v>
      </c>
      <c r="G24" s="65" t="s">
        <v>18</v>
      </c>
      <c r="H24" s="66" t="s">
        <v>19</v>
      </c>
      <c r="J24" s="64" t="s">
        <v>13</v>
      </c>
      <c r="K24" s="65" t="s">
        <v>14</v>
      </c>
      <c r="L24" s="65" t="s">
        <v>15</v>
      </c>
      <c r="M24" s="65" t="s">
        <v>16</v>
      </c>
      <c r="N24" s="65" t="s">
        <v>17</v>
      </c>
      <c r="O24" s="65" t="s">
        <v>18</v>
      </c>
      <c r="P24" s="66" t="s">
        <v>19</v>
      </c>
      <c r="R24" s="64" t="s">
        <v>13</v>
      </c>
      <c r="S24" s="65" t="s">
        <v>14</v>
      </c>
      <c r="T24" s="65" t="s">
        <v>15</v>
      </c>
      <c r="U24" s="65" t="s">
        <v>16</v>
      </c>
      <c r="V24" s="65" t="s">
        <v>17</v>
      </c>
      <c r="W24" s="65" t="s">
        <v>18</v>
      </c>
      <c r="X24" s="66" t="s">
        <v>19</v>
      </c>
      <c r="Z24" s="64" t="s">
        <v>13</v>
      </c>
      <c r="AA24" s="65" t="s">
        <v>14</v>
      </c>
      <c r="AB24" s="65" t="s">
        <v>15</v>
      </c>
      <c r="AC24" s="65" t="s">
        <v>16</v>
      </c>
      <c r="AD24" s="65" t="s">
        <v>17</v>
      </c>
      <c r="AE24" s="65" t="s">
        <v>18</v>
      </c>
      <c r="AF24" s="66" t="s">
        <v>19</v>
      </c>
    </row>
    <row r="25" spans="2:32" s="71" customFormat="1" ht="26.1" customHeight="1" x14ac:dyDescent="0.3">
      <c r="B25" s="68" t="str">
        <f>IF(DAY(SepSun1)=1,"",IF(AND(YEAR(SepSun1+1)=CalendarYear,MONTH(SepSun1+1)=9),SepSun1+1,""))</f>
        <v/>
      </c>
      <c r="C25" s="68" t="str">
        <f>IF(DAY(SepSun1)=1,"",IF(AND(YEAR(SepSun1+2)=CalendarYear,MONTH(SepSun1+2)=9),SepSun1+2,""))</f>
        <v/>
      </c>
      <c r="D25" s="69" t="str">
        <f>IF(DAY(SepSun1)=1,"",IF(AND(YEAR(SepSun1+3)=CalendarYear,MONTH(SepSun1+3)=9),SepSun1+3,""))</f>
        <v/>
      </c>
      <c r="E25" s="69" t="str">
        <f>IF(DAY(SepSun1)=1,"",IF(AND(YEAR(SepSun1+4)=CalendarYear,MONTH(SepSun1+4)=9),SepSun1+4,""))</f>
        <v/>
      </c>
      <c r="F25" s="129">
        <f>IF(DAY(SepSun1)=1,"",IF(AND(YEAR(SepSun1+5)=CalendarYear,MONTH(SepSun1+5)=9),SepSun1+5,""))</f>
        <v>44805</v>
      </c>
      <c r="G25" s="70">
        <f>IF(DAY(SepSun1)=1,"",IF(AND(YEAR(SepSun1+6)=CalendarYear,MONTH(SepSun1+6)=9),SepSun1+6,""))</f>
        <v>44806</v>
      </c>
      <c r="H25" s="70">
        <f>IF(DAY(SepSun1)=1,IF(AND(YEAR(SepSun1)=CalendarYear,MONTH(SepSun1)=9),SepSun1,""),IF(AND(YEAR(SepSun1+7)=CalendarYear,MONTH(SepSun1+7)=9),SepSun1+7,""))</f>
        <v>44807</v>
      </c>
      <c r="J25" s="68" t="str">
        <f>IF(DAY(OctSun1)=1,"",IF(AND(YEAR(OctSun1+1)=CalendarYear,MONTH(OctSun1+1)=10),OctSun1+1,""))</f>
        <v/>
      </c>
      <c r="K25" s="68" t="str">
        <f>IF(DAY(OctSun1)=1,"",IF(AND(YEAR(OctSun1+2)=CalendarYear,MONTH(OctSun1+2)=10),OctSun1+2,""))</f>
        <v/>
      </c>
      <c r="L25" s="69" t="str">
        <f>IF(DAY(OctSun1)=1,"",IF(AND(YEAR(OctSun1+3)=CalendarYear,MONTH(OctSun1+3)=10),OctSun1+3,""))</f>
        <v/>
      </c>
      <c r="M25" s="69" t="str">
        <f>IF(DAY(OctSun1)=1,"",IF(AND(YEAR(OctSun1+4)=CalendarYear,MONTH(OctSun1+4)=10),OctSun1+4,""))</f>
        <v/>
      </c>
      <c r="N25" s="69" t="str">
        <f>IF(DAY(OctSun1)=1,"",IF(AND(YEAR(OctSun1+5)=CalendarYear,MONTH(OctSun1+5)=10),OctSun1+5,""))</f>
        <v/>
      </c>
      <c r="O25" s="70" t="str">
        <f>IF(DAY(OctSun1)=1,"",IF(AND(YEAR(OctSun1+6)=CalendarYear,MONTH(OctSun1+6)=10),OctSun1+6,""))</f>
        <v/>
      </c>
      <c r="P25" s="70">
        <f>IF(DAY(OctSun1)=1,IF(AND(YEAR(OctSun1)=CalendarYear,MONTH(OctSun1)=10),OctSun1,""),IF(AND(YEAR(OctSun1+7)=CalendarYear,MONTH(OctSun1+7)=10),OctSun1+7,""))</f>
        <v>44835</v>
      </c>
      <c r="R25" s="68" t="str">
        <f>IF(DAY(NovSun1)=1,"",IF(AND(YEAR(NovSun1+1)=CalendarYear,MONTH(NovSun1+1)=11),NovSun1+1,""))</f>
        <v/>
      </c>
      <c r="S25" s="68" t="str">
        <f>IF(DAY(NovSun1)=1,"",IF(AND(YEAR(NovSun1+2)=CalendarYear,MONTH(NovSun1+2)=11),NovSun1+2,""))</f>
        <v/>
      </c>
      <c r="T25" s="92">
        <f>IF(DAY(NovSun1)=1,"",IF(AND(YEAR(NovSun1+3)=CalendarYear,MONTH(NovSun1+3)=11),NovSun1+3,""))</f>
        <v>44866</v>
      </c>
      <c r="U25" s="129">
        <f>IF(DAY(NovSun1)=1,"",IF(AND(YEAR(NovSun1+4)=CalendarYear,MONTH(NovSun1+4)=11),NovSun1+4,""))</f>
        <v>44867</v>
      </c>
      <c r="V25" s="129">
        <f>IF(DAY(NovSun1)=1,"",IF(AND(YEAR(NovSun1+5)=CalendarYear,MONTH(NovSun1+5)=11),NovSun1+5,""))</f>
        <v>44868</v>
      </c>
      <c r="W25" s="88">
        <f>IF(DAY(NovSun1)=1,"",IF(AND(YEAR(NovSun1+6)=CalendarYear,MONTH(NovSun1+6)=11),NovSun1+6,""))</f>
        <v>44869</v>
      </c>
      <c r="X25" s="70">
        <f>IF(DAY(NovSun1)=1,IF(AND(YEAR(NovSun1)=CalendarYear,MONTH(NovSun1)=11),NovSun1,""),IF(AND(YEAR(NovSun1+7)=CalendarYear,MONTH(NovSun1+7)=11),NovSun1+7,""))</f>
        <v>44870</v>
      </c>
      <c r="Z25" s="68" t="str">
        <f>IF(DAY(DecSun1)=1,"",IF(AND(YEAR(DecSun1+1)=CalendarYear,MONTH(DecSun1+1)=12),DecSun1+1,""))</f>
        <v/>
      </c>
      <c r="AA25" s="68" t="str">
        <f>IF(DAY(DecSun1)=1,"",IF(AND(YEAR(DecSun1+2)=CalendarYear,MONTH(DecSun1+2)=12),DecSun1+2,""))</f>
        <v/>
      </c>
      <c r="AB25" s="69" t="str">
        <f>IF(DAY(DecSun1)=1,"",IF(AND(YEAR(DecSun1+3)=CalendarYear,MONTH(DecSun1+3)=12),DecSun1+3,""))</f>
        <v/>
      </c>
      <c r="AC25" s="69" t="str">
        <f>IF(DAY(DecSun1)=1,"",IF(AND(YEAR(DecSun1+4)=CalendarYear,MONTH(DecSun1+4)=12),DecSun1+4,""))</f>
        <v/>
      </c>
      <c r="AD25" s="69">
        <f>IF(DAY(DecSun1)=1,"",IF(AND(YEAR(DecSun1+5)=CalendarYear,MONTH(DecSun1+5)=12),DecSun1+5,""))</f>
        <v>44896</v>
      </c>
      <c r="AE25" s="88">
        <f>IF(DAY(DecSun1)=1,"",IF(AND(YEAR(DecSun1+6)=CalendarYear,MONTH(DecSun1+6)=12),DecSun1+6,""))</f>
        <v>44897</v>
      </c>
      <c r="AF25" s="70">
        <f>IF(DAY(DecSun1)=1,IF(AND(YEAR(DecSun1)=CalendarYear,MONTH(DecSun1)=12),DecSun1,""),IF(AND(YEAR(DecSun1+7)=CalendarYear,MONTH(DecSun1+7)=12),DecSun1+7,""))</f>
        <v>44898</v>
      </c>
    </row>
    <row r="26" spans="2:32" s="71" customFormat="1" ht="26.1" customHeight="1" x14ac:dyDescent="0.3">
      <c r="B26" s="72">
        <f>IF(DAY(SepSun1)=1,IF(AND(YEAR(SepSun1+1)=CalendarYear,MONTH(SepSun1+1)=9),SepSun1+1,""),IF(AND(YEAR(SepSun1+8)=CalendarYear,MONTH(SepSun1+8)=9),SepSun1+8,""))</f>
        <v>44808</v>
      </c>
      <c r="C26" s="72">
        <f>IF(DAY(SepSun1)=1,IF(AND(YEAR(SepSun1+2)=CalendarYear,MONTH(SepSun1+2)=9),SepSun1+2,""),IF(AND(YEAR(SepSun1+9)=CalendarYear,MONTH(SepSun1+9)=9),SepSun1+9,""))</f>
        <v>44809</v>
      </c>
      <c r="D26" s="72">
        <f>IF(DAY(SepSun1)=1,IF(AND(YEAR(SepSun1+3)=CalendarYear,MONTH(SepSun1+3)=9),SepSun1+3,""),IF(AND(YEAR(SepSun1+10)=CalendarYear,MONTH(SepSun1+10)=9),SepSun1+10,""))</f>
        <v>44810</v>
      </c>
      <c r="E26" s="73">
        <f>IF(DAY(SepSun1)=1,IF(AND(YEAR(SepSun1+4)=CalendarYear,MONTH(SepSun1+4)=9),SepSun1+4,""),IF(AND(YEAR(SepSun1+11)=CalendarYear,MONTH(SepSun1+11)=9),SepSun1+11,""))</f>
        <v>44811</v>
      </c>
      <c r="F26" s="73">
        <f>IF(DAY(SepSun1)=1,IF(AND(YEAR(SepSun1+5)=CalendarYear,MONTH(SepSun1+5)=9),SepSun1+5,""),IF(AND(YEAR(SepSun1+12)=CalendarYear,MONTH(SepSun1+12)=9),SepSun1+12,""))</f>
        <v>44812</v>
      </c>
      <c r="G26" s="84">
        <f>IF(DAY(SepSun1)=1,IF(AND(YEAR(SepSun1+6)=CalendarYear,MONTH(SepSun1+6)=9),SepSun1+6,""),IF(AND(YEAR(SepSun1+13)=CalendarYear,MONTH(SepSun1+13)=9),SepSun1+13,""))</f>
        <v>44813</v>
      </c>
      <c r="H26" s="74">
        <f>IF(DAY(SepSun1)=1,IF(AND(YEAR(SepSun1+7)=CalendarYear,MONTH(SepSun1+7)=9),SepSun1+7,""),IF(AND(YEAR(SepSun1+14)=CalendarYear,MONTH(SepSun1+14)=9),SepSun1+14,""))</f>
        <v>44814</v>
      </c>
      <c r="J26" s="72">
        <f>IF(DAY(OctSun1)=1,IF(AND(YEAR(OctSun1+1)=CalendarYear,MONTH(OctSun1+1)=10),OctSun1+1,""),IF(AND(YEAR(OctSun1+8)=CalendarYear,MONTH(OctSun1+8)=10),OctSun1+8,""))</f>
        <v>44836</v>
      </c>
      <c r="K26" s="86">
        <f>IF(DAY(OctSun1)=1,IF(AND(YEAR(OctSun1+2)=CalendarYear,MONTH(OctSun1+2)=10),OctSun1+2,""),IF(AND(YEAR(OctSun1+9)=CalendarYear,MONTH(OctSun1+9)=10),OctSun1+9,""))</f>
        <v>44837</v>
      </c>
      <c r="L26" s="72">
        <f>IF(DAY(OctSun1)=1,IF(AND(YEAR(OctSun1+3)=CalendarYear,MONTH(OctSun1+3)=10),OctSun1+3,""),IF(AND(YEAR(OctSun1+10)=CalendarYear,MONTH(OctSun1+10)=10),OctSun1+10,""))</f>
        <v>44838</v>
      </c>
      <c r="M26" s="73">
        <f>IF(DAY(OctSun1)=1,IF(AND(YEAR(OctSun1+4)=CalendarYear,MONTH(OctSun1+4)=10),OctSun1+4,""),IF(AND(YEAR(OctSun1+11)=CalendarYear,MONTH(OctSun1+11)=10),OctSun1+11,""))</f>
        <v>44839</v>
      </c>
      <c r="N26" s="73">
        <f>IF(DAY(OctSun1)=1,IF(AND(YEAR(OctSun1+5)=CalendarYear,MONTH(OctSun1+5)=10),OctSun1+5,""),IF(AND(YEAR(OctSun1+12)=CalendarYear,MONTH(OctSun1+12)=10),OctSun1+12,""))</f>
        <v>44840</v>
      </c>
      <c r="O26" s="136">
        <f>IF(DAY(OctSun1)=1,IF(AND(YEAR(OctSun1+6)=CalendarYear,MONTH(OctSun1+6)=10),OctSun1+6,""),IF(AND(YEAR(OctSun1+13)=CalendarYear,MONTH(OctSun1+13)=10),OctSun1+13,""))</f>
        <v>44841</v>
      </c>
      <c r="P26" s="74">
        <f>IF(DAY(OctSun1)=1,IF(AND(YEAR(OctSun1+7)=CalendarYear,MONTH(OctSun1+7)=10),OctSun1+7,""),IF(AND(YEAR(OctSun1+14)=CalendarYear,MONTH(OctSun1+14)=10),OctSun1+14,""))</f>
        <v>44842</v>
      </c>
      <c r="R26" s="86">
        <f>IF(DAY(NovSun1)=1,IF(AND(YEAR(NovSun1+1)=CalendarYear,MONTH(NovSun1+1)=11),NovSun1+1,""),IF(AND(YEAR(NovSun1+8)=CalendarYear,MONTH(NovSun1+8)=11),NovSun1+8,""))</f>
        <v>44871</v>
      </c>
      <c r="S26" s="86">
        <f>IF(DAY(NovSun1)=1,IF(AND(YEAR(NovSun1+2)=CalendarYear,MONTH(NovSun1+2)=11),NovSun1+2,""),IF(AND(YEAR(NovSun1+9)=CalendarYear,MONTH(NovSun1+9)=11),NovSun1+9,""))</f>
        <v>44872</v>
      </c>
      <c r="T26" s="89">
        <f>IF(DAY(NovSun1)=1,IF(AND(YEAR(NovSun1+3)=CalendarYear,MONTH(NovSun1+3)=11),NovSun1+3,""),IF(AND(YEAR(NovSun1+10)=CalendarYear,MONTH(NovSun1+10)=11),NovSun1+10,""))</f>
        <v>44873</v>
      </c>
      <c r="U26" s="85">
        <f>IF(DAY(NovSun1)=1,IF(AND(YEAR(NovSun1+4)=CalendarYear,MONTH(NovSun1+4)=11),NovSun1+4,""),IF(AND(YEAR(NovSun1+11)=CalendarYear,MONTH(NovSun1+11)=11),NovSun1+11,""))</f>
        <v>44874</v>
      </c>
      <c r="V26" s="73">
        <f>IF(DAY(NovSun1)=1,IF(AND(YEAR(NovSun1+5)=CalendarYear,MONTH(NovSun1+5)=11),NovSun1+5,""),IF(AND(YEAR(NovSun1+12)=CalendarYear,MONTH(NovSun1+12)=11),NovSun1+12,""))</f>
        <v>44875</v>
      </c>
      <c r="W26" s="148">
        <f>IF(DAY(NovSun1)=1,IF(AND(YEAR(NovSun1+6)=CalendarYear,MONTH(NovSun1+6)=11),NovSun1+6,""),IF(AND(YEAR(NovSun1+13)=CalendarYear,MONTH(NovSun1+13)=11),NovSun1+13,""))</f>
        <v>44876</v>
      </c>
      <c r="X26" s="74">
        <f>IF(DAY(NovSun1)=1,IF(AND(YEAR(NovSun1+7)=CalendarYear,MONTH(NovSun1+7)=11),NovSun1+7,""),IF(AND(YEAR(NovSun1+14)=CalendarYear,MONTH(NovSun1+14)=11),NovSun1+14,""))</f>
        <v>44877</v>
      </c>
      <c r="Z26" s="72">
        <f>IF(DAY(DecSun1)=1,IF(AND(YEAR(DecSun1+1)=CalendarYear,MONTH(DecSun1+1)=12),DecSun1+1,""),IF(AND(YEAR(DecSun1+8)=CalendarYear,MONTH(DecSun1+8)=12),DecSun1+8,""))</f>
        <v>44899</v>
      </c>
      <c r="AA26" s="72">
        <f>IF(DAY(DecSun1)=1,IF(AND(YEAR(DecSun1+2)=CalendarYear,MONTH(DecSun1+2)=12),DecSun1+2,""),IF(AND(YEAR(DecSun1+9)=CalendarYear,MONTH(DecSun1+9)=12),DecSun1+9,""))</f>
        <v>44900</v>
      </c>
      <c r="AB26" s="72">
        <f>IF(DAY(DecSun1)=1,IF(AND(YEAR(DecSun1+3)=CalendarYear,MONTH(DecSun1+3)=12),DecSun1+3,""),IF(AND(YEAR(DecSun1+10)=CalendarYear,MONTH(DecSun1+10)=12),DecSun1+10,""))</f>
        <v>44901</v>
      </c>
      <c r="AC26" s="73">
        <f>IF(DAY(DecSun1)=1,IF(AND(YEAR(DecSun1+4)=CalendarYear,MONTH(DecSun1+4)=12),DecSun1+4,""),IF(AND(YEAR(DecSun1+11)=CalendarYear,MONTH(DecSun1+11)=12),DecSun1+11,""))</f>
        <v>44902</v>
      </c>
      <c r="AD26" s="85">
        <f>IF(DAY(DecSun1)=1,IF(AND(YEAR(DecSun1+5)=CalendarYear,MONTH(DecSun1+5)=12),DecSun1+5,""),IF(AND(YEAR(DecSun1+12)=CalendarYear,MONTH(DecSun1+12)=12),DecSun1+12,""))</f>
        <v>44903</v>
      </c>
      <c r="AE26" s="74">
        <f>IF(DAY(DecSun1)=1,IF(AND(YEAR(DecSun1+6)=CalendarYear,MONTH(DecSun1+6)=12),DecSun1+6,""),IF(AND(YEAR(DecSun1+13)=CalendarYear,MONTH(DecSun1+13)=12),DecSun1+13,""))</f>
        <v>44904</v>
      </c>
      <c r="AF26" s="74">
        <f>IF(DAY(DecSun1)=1,IF(AND(YEAR(DecSun1+7)=CalendarYear,MONTH(DecSun1+7)=12),DecSun1+7,""),IF(AND(YEAR(DecSun1+14)=CalendarYear,MONTH(DecSun1+14)=12),DecSun1+14,""))</f>
        <v>44905</v>
      </c>
    </row>
    <row r="27" spans="2:32" s="71" customFormat="1" ht="26.1" customHeight="1" x14ac:dyDescent="0.3">
      <c r="B27" s="73">
        <f>IF(DAY(SepSun1)=1,IF(AND(YEAR(SepSun1+8)=CalendarYear,MONTH(SepSun1+8)=9),SepSun1+8,""),IF(AND(YEAR(SepSun1+15)=CalendarYear,MONTH(SepSun1+15)=9),SepSun1+15,""))</f>
        <v>44815</v>
      </c>
      <c r="C27" s="131">
        <f>IF(DAY(SepSun1)=1,IF(AND(YEAR(SepSun1+9)=CalendarYear,MONTH(SepSun1+9)=9),SepSun1+9,""),IF(AND(YEAR(SepSun1+16)=CalendarYear,MONTH(SepSun1+16)=9),SepSun1+16,""))</f>
        <v>44816</v>
      </c>
      <c r="D27" s="72">
        <f>IF(DAY(SepSun1)=1,IF(AND(YEAR(SepSun1+10)=CalendarYear,MONTH(SepSun1+10)=9),SepSun1+10,""),IF(AND(YEAR(SepSun1+17)=CalendarYear,MONTH(SepSun1+17)=9),SepSun1+17,""))</f>
        <v>44817</v>
      </c>
      <c r="E27" s="72">
        <f>IF(DAY(SepSun1)=1,IF(AND(YEAR(SepSun1+11)=CalendarYear,MONTH(SepSun1+11)=9),SepSun1+11,""),IF(AND(YEAR(SepSun1+18)=CalendarYear,MONTH(SepSun1+18)=9),SepSun1+18,""))</f>
        <v>44818</v>
      </c>
      <c r="F27" s="75">
        <f>IF(DAY(SepSun1)=1,IF(AND(YEAR(SepSun1+12)=CalendarYear,MONTH(SepSun1+12)=9),SepSun1+12,""),IF(AND(YEAR(SepSun1+19)=CalendarYear,MONTH(SepSun1+19)=9),SepSun1+19,""))</f>
        <v>44819</v>
      </c>
      <c r="G27" s="75">
        <f>IF(DAY(SepSun1)=1,IF(AND(YEAR(SepSun1+13)=CalendarYear,MONTH(SepSun1+13)=9),SepSun1+13,""),IF(AND(YEAR(SepSun1+20)=CalendarYear,MONTH(SepSun1+20)=9),SepSun1+20,""))</f>
        <v>44820</v>
      </c>
      <c r="H27" s="73">
        <f>IF(DAY(SepSun1)=1,IF(AND(YEAR(SepSun1+14)=CalendarYear,MONTH(SepSun1+14)=9),SepSun1+14,""),IF(AND(YEAR(SepSun1+21)=CalendarYear,MONTH(SepSun1+21)=9),SepSun1+21,""))</f>
        <v>44821</v>
      </c>
      <c r="J27" s="114">
        <f>IF(DAY(OctSun1)=1,IF(AND(YEAR(OctSun1+8)=CalendarYear,MONTH(OctSun1+8)=10),OctSun1+8,""),IF(AND(YEAR(OctSun1+15)=CalendarYear,MONTH(OctSun1+15)=10),OctSun1+15,""))</f>
        <v>44843</v>
      </c>
      <c r="K27" s="73">
        <f>IF(DAY(OctSun1)=1,IF(AND(YEAR(OctSun1+9)=CalendarYear,MONTH(OctSun1+9)=10),OctSun1+9,""),IF(AND(YEAR(OctSun1+16)=CalendarYear,MONTH(OctSun1+16)=10),OctSun1+16,""))</f>
        <v>44844</v>
      </c>
      <c r="L27" s="86">
        <f>IF(DAY(OctSun1)=1,IF(AND(YEAR(OctSun1+10)=CalendarYear,MONTH(OctSun1+10)=10),OctSun1+10,""),IF(AND(YEAR(OctSun1+17)=CalendarYear,MONTH(OctSun1+17)=10),OctSun1+17,""))</f>
        <v>44845</v>
      </c>
      <c r="M27" s="86">
        <f>IF(DAY(OctSun1)=1,IF(AND(YEAR(OctSun1+11)=CalendarYear,MONTH(OctSun1+11)=10),OctSun1+11,""),IF(AND(YEAR(OctSun1+18)=CalendarYear,MONTH(OctSun1+18)=10),OctSun1+18,""))</f>
        <v>44846</v>
      </c>
      <c r="N27" s="75">
        <f>IF(DAY(OctSun1)=1,IF(AND(YEAR(OctSun1+12)=CalendarYear,MONTH(OctSun1+12)=10),OctSun1+12,""),IF(AND(YEAR(OctSun1+19)=CalendarYear,MONTH(OctSun1+19)=10),OctSun1+19,""))</f>
        <v>44847</v>
      </c>
      <c r="O27" s="140">
        <f>IF(DAY(OctSun1)=1,IF(AND(YEAR(OctSun1+13)=CalendarYear,MONTH(OctSun1+13)=10),OctSun1+13,""),IF(AND(YEAR(OctSun1+20)=CalendarYear,MONTH(OctSun1+20)=10),OctSun1+20,""))</f>
        <v>44848</v>
      </c>
      <c r="P27" s="73">
        <f>IF(DAY(OctSun1)=1,IF(AND(YEAR(OctSun1+14)=CalendarYear,MONTH(OctSun1+14)=10),OctSun1+14,""),IF(AND(YEAR(OctSun1+21)=CalendarYear,MONTH(OctSun1+21)=10),OctSun1+21,""))</f>
        <v>44849</v>
      </c>
      <c r="R27" s="73">
        <f>IF(DAY(NovSun1)=1,IF(AND(YEAR(NovSun1+8)=CalendarYear,MONTH(NovSun1+8)=11),NovSun1+8,""),IF(AND(YEAR(NovSun1+15)=CalendarYear,MONTH(NovSun1+15)=11),NovSun1+15,""))</f>
        <v>44878</v>
      </c>
      <c r="S27" s="135">
        <f>IF(DAY(NovSun1)=1,IF(AND(YEAR(NovSun1+9)=CalendarYear,MONTH(NovSun1+9)=11),NovSun1+9,""),IF(AND(YEAR(NovSun1+16)=CalendarYear,MONTH(NovSun1+16)=11),NovSun1+16,""))</f>
        <v>44879</v>
      </c>
      <c r="T27" s="72">
        <f>IF(DAY(NovSun1)=1,IF(AND(YEAR(NovSun1+10)=CalendarYear,MONTH(NovSun1+10)=11),NovSun1+10,""),IF(AND(YEAR(NovSun1+17)=CalendarYear,MONTH(NovSun1+17)=11),NovSun1+17,""))</f>
        <v>44880</v>
      </c>
      <c r="U27" s="72">
        <f>IF(DAY(NovSun1)=1,IF(AND(YEAR(NovSun1+11)=CalendarYear,MONTH(NovSun1+11)=11),NovSun1+11,""),IF(AND(YEAR(NovSun1+18)=CalendarYear,MONTH(NovSun1+18)=11),NovSun1+18,""))</f>
        <v>44881</v>
      </c>
      <c r="V27" s="75">
        <f>IF(DAY(NovSun1)=1,IF(AND(YEAR(NovSun1+12)=CalendarYear,MONTH(NovSun1+12)=11),NovSun1+12,""),IF(AND(YEAR(NovSun1+19)=CalendarYear,MONTH(NovSun1+19)=11),NovSun1+19,""))</f>
        <v>44882</v>
      </c>
      <c r="W27" s="140">
        <f>IF(DAY(NovSun1)=1,IF(AND(YEAR(NovSun1+13)=CalendarYear,MONTH(NovSun1+13)=11),NovSun1+13,""),IF(AND(YEAR(NovSun1+20)=CalendarYear,MONTH(NovSun1+20)=11),NovSun1+20,""))</f>
        <v>44883</v>
      </c>
      <c r="X27" s="85">
        <f>IF(DAY(NovSun1)=1,IF(AND(YEAR(NovSun1+14)=CalendarYear,MONTH(NovSun1+14)=11),NovSun1+14,""),IF(AND(YEAR(NovSun1+21)=CalendarYear,MONTH(NovSun1+21)=11),NovSun1+21,""))</f>
        <v>44884</v>
      </c>
      <c r="Z27" s="73">
        <f>IF(DAY(DecSun1)=1,IF(AND(YEAR(DecSun1+8)=CalendarYear,MONTH(DecSun1+8)=12),DecSun1+8,""),IF(AND(YEAR(DecSun1+15)=CalendarYear,MONTH(DecSun1+15)=12),DecSun1+15,""))</f>
        <v>44906</v>
      </c>
      <c r="AA27" s="85">
        <f>IF(DAY(DecSun1)=1,IF(AND(YEAR(DecSun1+9)=CalendarYear,MONTH(DecSun1+9)=12),DecSun1+9,""),IF(AND(YEAR(DecSun1+16)=CalendarYear,MONTH(DecSun1+16)=12),DecSun1+16,""))</f>
        <v>44907</v>
      </c>
      <c r="AB27" s="72">
        <f>IF(DAY(DecSun1)=1,IF(AND(YEAR(DecSun1+10)=CalendarYear,MONTH(DecSun1+10)=12),DecSun1+10,""),IF(AND(YEAR(DecSun1+17)=CalendarYear,MONTH(DecSun1+17)=12),DecSun1+17,""))</f>
        <v>44908</v>
      </c>
      <c r="AC27" s="72">
        <f>IF(DAY(DecSun1)=1,IF(AND(YEAR(DecSun1+11)=CalendarYear,MONTH(DecSun1+11)=12),DecSun1+11,""),IF(AND(YEAR(DecSun1+18)=CalendarYear,MONTH(DecSun1+18)=12),DecSun1+18,""))</f>
        <v>44909</v>
      </c>
      <c r="AD27" s="75">
        <f>IF(DAY(DecSun1)=1,IF(AND(YEAR(DecSun1+12)=CalendarYear,MONTH(DecSun1+12)=12),DecSun1+12,""),IF(AND(YEAR(DecSun1+19)=CalendarYear,MONTH(DecSun1+19)=12),DecSun1+19,""))</f>
        <v>44910</v>
      </c>
      <c r="AE27" s="75">
        <f>IF(DAY(DecSun1)=1,IF(AND(YEAR(DecSun1+13)=CalendarYear,MONTH(DecSun1+13)=12),DecSun1+13,""),IF(AND(YEAR(DecSun1+20)=CalendarYear,MONTH(DecSun1+20)=12),DecSun1+20,""))</f>
        <v>44911</v>
      </c>
      <c r="AF27" s="73">
        <f>IF(DAY(DecSun1)=1,IF(AND(YEAR(DecSun1+14)=CalendarYear,MONTH(DecSun1+14)=12),DecSun1+14,""),IF(AND(YEAR(DecSun1+21)=CalendarYear,MONTH(DecSun1+21)=12),DecSun1+21,""))</f>
        <v>44912</v>
      </c>
    </row>
    <row r="28" spans="2:32" s="71" customFormat="1" ht="26.1" customHeight="1" x14ac:dyDescent="0.3">
      <c r="B28" s="74">
        <f>IF(DAY(SepSun1)=1,IF(AND(YEAR(SepSun1+15)=CalendarYear,MONTH(SepSun1+15)=9),SepSun1+15,""),IF(AND(YEAR(SepSun1+22)=CalendarYear,MONTH(SepSun1+22)=9),SepSun1+22,""))</f>
        <v>44822</v>
      </c>
      <c r="C28" s="84">
        <f>IF(DAY(SepSun1)=1,IF(AND(YEAR(SepSun1+16)=CalendarYear,MONTH(SepSun1+16)=9),SepSun1+16,""),IF(AND(YEAR(SepSun1+23)=CalendarYear,MONTH(SepSun1+23)=9),SepSun1+23,""))</f>
        <v>44823</v>
      </c>
      <c r="D28" s="74">
        <f>IF(DAY(SepSun1)=1,IF(AND(YEAR(SepSun1+17)=CalendarYear,MONTH(SepSun1+17)=9),SepSun1+17,""),IF(AND(YEAR(SepSun1+24)=CalendarYear,MONTH(SepSun1+24)=9),SepSun1+24,""))</f>
        <v>44824</v>
      </c>
      <c r="E28" s="132">
        <f>IF(DAY(SepSun1)=1,IF(AND(YEAR(SepSun1+18)=CalendarYear,MONTH(SepSun1+18)=9),SepSun1+18,""),IF(AND(YEAR(SepSun1+25)=CalendarYear,MONTH(SepSun1+25)=9),SepSun1+25,""))</f>
        <v>44825</v>
      </c>
      <c r="F28" s="76">
        <f>IF(DAY(SepSun1)=1,IF(AND(YEAR(SepSun1+19)=CalendarYear,MONTH(SepSun1+19)=9),SepSun1+19,""),IF(AND(YEAR(SepSun1+26)=CalendarYear,MONTH(SepSun1+26)=9),SepSun1+26,""))</f>
        <v>44826</v>
      </c>
      <c r="G28" s="73">
        <f>IF(DAY(SepSun1)=1,IF(AND(YEAR(SepSun1+20)=CalendarYear,MONTH(SepSun1+20)=9),SepSun1+20,""),IF(AND(YEAR(SepSun1+27)=CalendarYear,MONTH(SepSun1+27)=9),SepSun1+27,""))</f>
        <v>44827</v>
      </c>
      <c r="H28" s="135">
        <f>IF(DAY(SepSun1)=1,IF(AND(YEAR(SepSun1+21)=CalendarYear,MONTH(SepSun1+21)=9),SepSun1+21,""),IF(AND(YEAR(SepSun1+28)=CalendarYear,MONTH(SepSun1+28)=9),SepSun1+28,""))</f>
        <v>44828</v>
      </c>
      <c r="J28" s="74">
        <f>IF(DAY(OctSun1)=1,IF(AND(YEAR(OctSun1+15)=CalendarYear,MONTH(OctSun1+15)=10),OctSun1+15,""),IF(AND(YEAR(OctSun1+22)=CalendarYear,MONTH(OctSun1+22)=10),OctSun1+22,""))</f>
        <v>44850</v>
      </c>
      <c r="K28" s="84">
        <f>IF(DAY(OctSun1)=1,IF(AND(YEAR(OctSun1+16)=CalendarYear,MONTH(OctSun1+16)=10),OctSun1+16,""),IF(AND(YEAR(OctSun1+23)=CalendarYear,MONTH(OctSun1+23)=10),OctSun1+23,""))</f>
        <v>44851</v>
      </c>
      <c r="L28" s="84">
        <f>IF(DAY(OctSun1)=1,IF(AND(YEAR(OctSun1+17)=CalendarYear,MONTH(OctSun1+17)=10),OctSun1+17,""),IF(AND(YEAR(OctSun1+24)=CalendarYear,MONTH(OctSun1+24)=10),OctSun1+24,""))</f>
        <v>44852</v>
      </c>
      <c r="M28" s="85">
        <f>IF(DAY(OctSun1)=1,IF(AND(YEAR(OctSun1+18)=CalendarYear,MONTH(OctSun1+18)=10),OctSun1+18,""),IF(AND(YEAR(OctSun1+25)=CalendarYear,MONTH(OctSun1+25)=10),OctSun1+25,""))</f>
        <v>44853</v>
      </c>
      <c r="N28" s="141">
        <f>IF(DAY(OctSun1)=1,IF(AND(YEAR(OctSun1+19)=CalendarYear,MONTH(OctSun1+19)=10),OctSun1+19,""),IF(AND(YEAR(OctSun1+26)=CalendarYear,MONTH(OctSun1+26)=10),OctSun1+26,""))</f>
        <v>44854</v>
      </c>
      <c r="O28" s="142">
        <f>IF(DAY(OctSun1)=1,IF(AND(YEAR(OctSun1+20)=CalendarYear,MONTH(OctSun1+20)=10),OctSun1+20,""),IF(AND(YEAR(OctSun1+27)=CalendarYear,MONTH(OctSun1+27)=10),OctSun1+27,""))</f>
        <v>44855</v>
      </c>
      <c r="P28" s="73">
        <f>IF(DAY(OctSun1)=1,IF(AND(YEAR(OctSun1+21)=CalendarYear,MONTH(OctSun1+21)=10),OctSun1+21,""),IF(AND(YEAR(OctSun1+28)=CalendarYear,MONTH(OctSun1+28)=10),OctSun1+28,""))</f>
        <v>44856</v>
      </c>
      <c r="R28" s="74">
        <f>IF(DAY(NovSun1)=1,IF(AND(YEAR(NovSun1+15)=CalendarYear,MONTH(NovSun1+15)=11),NovSun1+15,""),IF(AND(YEAR(NovSun1+22)=CalendarYear,MONTH(NovSun1+22)=11),NovSun1+22,""))</f>
        <v>44885</v>
      </c>
      <c r="S28" s="84">
        <f>IF(DAY(NovSun1)=1,IF(AND(YEAR(NovSun1+16)=CalendarYear,MONTH(NovSun1+16)=11),NovSun1+16,""),IF(AND(YEAR(NovSun1+23)=CalendarYear,MONTH(NovSun1+23)=11),NovSun1+23,""))</f>
        <v>44886</v>
      </c>
      <c r="T28" s="148">
        <f>IF(DAY(NovSun1)=1,IF(AND(YEAR(NovSun1+17)=CalendarYear,MONTH(NovSun1+17)=11),NovSun1+17,""),IF(AND(YEAR(NovSun1+24)=CalendarYear,MONTH(NovSun1+24)=11),NovSun1+24,""))</f>
        <v>44887</v>
      </c>
      <c r="U28" s="85">
        <f>IF(DAY(NovSun1)=1,IF(AND(YEAR(NovSun1+18)=CalendarYear,MONTH(NovSun1+18)=11),NovSun1+18,""),IF(AND(YEAR(NovSun1+25)=CalendarYear,MONTH(NovSun1+25)=11),NovSun1+25,""))</f>
        <v>44888</v>
      </c>
      <c r="V28" s="76">
        <f>IF(DAY(NovSun1)=1,IF(AND(YEAR(NovSun1+19)=CalendarYear,MONTH(NovSun1+19)=11),NovSun1+19,""),IF(AND(YEAR(NovSun1+26)=CalendarYear,MONTH(NovSun1+26)=11),NovSun1+26,""))</f>
        <v>44889</v>
      </c>
      <c r="W28" s="73">
        <f>IF(DAY(NovSun1)=1,IF(AND(YEAR(NovSun1+20)=CalendarYear,MONTH(NovSun1+20)=11),NovSun1+20,""),IF(AND(YEAR(NovSun1+27)=CalendarYear,MONTH(NovSun1+27)=11),NovSun1+27,""))</f>
        <v>44890</v>
      </c>
      <c r="X28" s="152">
        <f>IF(DAY(NovSun1)=1,IF(AND(YEAR(NovSun1+21)=CalendarYear,MONTH(NovSun1+21)=11),NovSun1+21,""),IF(AND(YEAR(NovSun1+28)=CalendarYear,MONTH(NovSun1+28)=11),NovSun1+28,""))</f>
        <v>44891</v>
      </c>
      <c r="Z28" s="84">
        <f>IF(DAY(DecSun1)=1,IF(AND(YEAR(DecSun1+15)=CalendarYear,MONTH(DecSun1+15)=12),DecSun1+15,""),IF(AND(YEAR(DecSun1+22)=CalendarYear,MONTH(DecSun1+22)=12),DecSun1+22,""))</f>
        <v>44913</v>
      </c>
      <c r="AA28" s="74">
        <f>IF(DAY(DecSun1)=1,IF(AND(YEAR(DecSun1+16)=CalendarYear,MONTH(DecSun1+16)=12),DecSun1+16,""),IF(AND(YEAR(DecSun1+23)=CalendarYear,MONTH(DecSun1+23)=12),DecSun1+23,""))</f>
        <v>44914</v>
      </c>
      <c r="AB28" s="74">
        <f>IF(DAY(DecSun1)=1,IF(AND(YEAR(DecSun1+17)=CalendarYear,MONTH(DecSun1+17)=12),DecSun1+17,""),IF(AND(YEAR(DecSun1+24)=CalendarYear,MONTH(DecSun1+24)=12),DecSun1+24,""))</f>
        <v>44915</v>
      </c>
      <c r="AC28" s="73">
        <f>IF(DAY(DecSun1)=1,IF(AND(YEAR(DecSun1+18)=CalendarYear,MONTH(DecSun1+18)=12),DecSun1+18,""),IF(AND(YEAR(DecSun1+25)=CalendarYear,MONTH(DecSun1+25)=12),DecSun1+25,""))</f>
        <v>44916</v>
      </c>
      <c r="AD28" s="76">
        <f>IF(DAY(DecSun1)=1,IF(AND(YEAR(DecSun1+19)=CalendarYear,MONTH(DecSun1+19)=12),DecSun1+19,""),IF(AND(YEAR(DecSun1+26)=CalendarYear,MONTH(DecSun1+26)=12),DecSun1+26,""))</f>
        <v>44917</v>
      </c>
      <c r="AE28" s="73">
        <f>IF(DAY(DecSun1)=1,IF(AND(YEAR(DecSun1+20)=CalendarYear,MONTH(DecSun1+20)=12),DecSun1+20,""),IF(AND(YEAR(DecSun1+27)=CalendarYear,MONTH(DecSun1+27)=12),DecSun1+27,""))</f>
        <v>44918</v>
      </c>
      <c r="AF28" s="73">
        <f>IF(DAY(DecSun1)=1,IF(AND(YEAR(DecSun1+21)=CalendarYear,MONTH(DecSun1+21)=12),DecSun1+21,""),IF(AND(YEAR(DecSun1+28)=CalendarYear,MONTH(DecSun1+28)=12),DecSun1+28,""))</f>
        <v>44919</v>
      </c>
    </row>
    <row r="29" spans="2:32" s="71" customFormat="1" ht="26.1" customHeight="1" x14ac:dyDescent="0.3">
      <c r="B29" s="72">
        <f>IF(DAY(SepSun1)=1,IF(AND(YEAR(SepSun1+22)=CalendarYear,MONTH(SepSun1+22)=9),SepSun1+22,""),IF(AND(YEAR(SepSun1+29)=CalendarYear,MONTH(SepSun1+29)=9),SepSun1+29,""))</f>
        <v>44829</v>
      </c>
      <c r="C29" s="86">
        <f>IF(DAY(SepSun1)=1,IF(AND(YEAR(SepSun1+23)=CalendarYear,MONTH(SepSun1+23)=9),SepSun1+23,""),IF(AND(YEAR(SepSun1+30)=CalendarYear,MONTH(SepSun1+30)=9),SepSun1+30,""))</f>
        <v>44830</v>
      </c>
      <c r="D29" s="77">
        <f>IF(DAY(SepSun1)=1,IF(AND(YEAR(SepSun1+24)=CalendarYear,MONTH(SepSun1+24)=9),SepSun1+24,""),IF(AND(YEAR(SepSun1+31)=CalendarYear,MONTH(SepSun1+31)=9),SepSun1+31,""))</f>
        <v>44831</v>
      </c>
      <c r="E29" s="77">
        <f>IF(DAY(SepSun1)=1,IF(AND(YEAR(SepSun1+25)=CalendarYear,MONTH(SepSun1+25)=9),SepSun1+25,""),IF(AND(YEAR(SepSun1+32)=CalendarYear,MONTH(SepSun1+32)=9),SepSun1+32,""))</f>
        <v>44832</v>
      </c>
      <c r="F29" s="77">
        <f>IF(DAY(SepSun1)=1,IF(AND(YEAR(SepSun1+26)=CalendarYear,MONTH(SepSun1+26)=9),SepSun1+26,""),IF(AND(YEAR(SepSun1+33)=CalendarYear,MONTH(SepSun1+33)=9),SepSun1+33,""))</f>
        <v>44833</v>
      </c>
      <c r="G29" s="78">
        <f>IF(DAY(SepSun1)=1,IF(AND(YEAR(SepSun1+27)=CalendarYear,MONTH(SepSun1+27)=9),SepSun1+27,""),IF(AND(YEAR(SepSun1+34)=CalendarYear,MONTH(SepSun1+34)=9),SepSun1+34,""))</f>
        <v>44834</v>
      </c>
      <c r="H29" s="78" t="str">
        <f>IF(DAY(SepSun1)=1,IF(AND(YEAR(SepSun1+28)=CalendarYear,MONTH(SepSun1+28)=9),SepSun1+28,""),IF(AND(YEAR(SepSun1+35)=CalendarYear,MONTH(SepSun1+35)=9),SepSun1+35,""))</f>
        <v/>
      </c>
      <c r="J29" s="72">
        <f>IF(DAY(OctSun1)=1,IF(AND(YEAR(OctSun1+22)=CalendarYear,MONTH(OctSun1+22)=10),OctSun1+22,""),IF(AND(YEAR(OctSun1+29)=CalendarYear,MONTH(OctSun1+29)=10),OctSun1+29,""))</f>
        <v>44857</v>
      </c>
      <c r="K29" s="144">
        <f>IF(DAY(OctSun1)=1,IF(AND(YEAR(OctSun1+23)=CalendarYear,MONTH(OctSun1+23)=10),OctSun1+23,""),IF(AND(YEAR(OctSun1+30)=CalendarYear,MONTH(OctSun1+30)=10),OctSun1+30,""))</f>
        <v>44858</v>
      </c>
      <c r="L29" s="91">
        <f>IF(DAY(OctSun1)=1,IF(AND(YEAR(OctSun1+24)=CalendarYear,MONTH(OctSun1+24)=10),OctSun1+24,""),IF(AND(YEAR(OctSun1+31)=CalendarYear,MONTH(OctSun1+31)=10),OctSun1+31,""))</f>
        <v>44859</v>
      </c>
      <c r="M29" s="91">
        <f>IF(DAY(OctSun1)=1,IF(AND(YEAR(OctSun1+25)=CalendarYear,MONTH(OctSun1+25)=10),OctSun1+25,""),IF(AND(YEAR(OctSun1+32)=CalendarYear,MONTH(OctSun1+32)=10),OctSun1+32,""))</f>
        <v>44860</v>
      </c>
      <c r="N29" s="91">
        <f>IF(DAY(OctSun1)=1,IF(AND(YEAR(OctSun1+26)=CalendarYear,MONTH(OctSun1+26)=10),OctSun1+26,""),IF(AND(YEAR(OctSun1+33)=CalendarYear,MONTH(OctSun1+33)=10),OctSun1+33,""))</f>
        <v>44861</v>
      </c>
      <c r="O29" s="87">
        <f>IF(DAY(OctSun1)=1,IF(AND(YEAR(OctSun1+27)=CalendarYear,MONTH(OctSun1+27)=10),OctSun1+27,""),IF(AND(YEAR(OctSun1+34)=CalendarYear,MONTH(OctSun1+34)=10),OctSun1+34,""))</f>
        <v>44862</v>
      </c>
      <c r="P29" s="93">
        <f>IF(DAY(OctSun1)=1,IF(AND(YEAR(OctSun1+28)=CalendarYear,MONTH(OctSun1+28)=10),OctSun1+28,""),IF(AND(YEAR(OctSun1+35)=CalendarYear,MONTH(OctSun1+35)=10),OctSun1+35,""))</f>
        <v>44863</v>
      </c>
      <c r="R29" s="72">
        <f>IF(DAY(NovSun1)=1,IF(AND(YEAR(NovSun1+22)=CalendarYear,MONTH(NovSun1+22)=11),NovSun1+22,""),IF(AND(YEAR(NovSun1+29)=CalendarYear,MONTH(NovSun1+29)=11),NovSun1+29,""))</f>
        <v>44892</v>
      </c>
      <c r="S29" s="72">
        <f>IF(DAY(NovSun1)=1,IF(AND(YEAR(NovSun1+23)=CalendarYear,MONTH(NovSun1+23)=11),NovSun1+23,""),IF(AND(YEAR(NovSun1+30)=CalendarYear,MONTH(NovSun1+30)=11),NovSun1+30,""))</f>
        <v>44893</v>
      </c>
      <c r="T29" s="116">
        <f>IF(DAY(NovSun1)=1,IF(AND(YEAR(NovSun1+24)=CalendarYear,MONTH(NovSun1+24)=11),NovSun1+24,""),IF(AND(YEAR(NovSun1+31)=CalendarYear,MONTH(NovSun1+31)=11),NovSun1+31,""))</f>
        <v>44894</v>
      </c>
      <c r="U29" s="77">
        <f>IF(DAY(NovSun1)=1,IF(AND(YEAR(NovSun1+25)=CalendarYear,MONTH(NovSun1+25)=11),NovSun1+25,""),IF(AND(YEAR(NovSun1+32)=CalendarYear,MONTH(NovSun1+32)=11),NovSun1+32,""))</f>
        <v>44895</v>
      </c>
      <c r="V29" s="77" t="str">
        <f>IF(DAY(NovSun1)=1,IF(AND(YEAR(NovSun1+26)=CalendarYear,MONTH(NovSun1+26)=11),NovSun1+26,""),IF(AND(YEAR(NovSun1+33)=CalendarYear,MONTH(NovSun1+33)=11),NovSun1+33,""))</f>
        <v/>
      </c>
      <c r="W29" s="78" t="str">
        <f>IF(DAY(NovSun1)=1,IF(AND(YEAR(NovSun1+27)=CalendarYear,MONTH(NovSun1+27)=11),NovSun1+27,""),IF(AND(YEAR(NovSun1+34)=CalendarYear,MONTH(NovSun1+34)=11),NovSun1+34,""))</f>
        <v/>
      </c>
      <c r="X29" s="78" t="str">
        <f>IF(DAY(NovSun1)=1,IF(AND(YEAR(NovSun1+28)=CalendarYear,MONTH(NovSun1+28)=11),NovSun1+28,""),IF(AND(YEAR(NovSun1+35)=CalendarYear,MONTH(NovSun1+35)=11),NovSun1+35,""))</f>
        <v/>
      </c>
      <c r="Z29" s="72">
        <f>IF(DAY(DecSun1)=1,IF(AND(YEAR(DecSun1+22)=CalendarYear,MONTH(DecSun1+22)=12),DecSun1+22,""),IF(AND(YEAR(DecSun1+29)=CalendarYear,MONTH(DecSun1+29)=12),DecSun1+29,""))</f>
        <v>44920</v>
      </c>
      <c r="AA29" s="72">
        <f>IF(DAY(DecSun1)=1,IF(AND(YEAR(DecSun1+23)=CalendarYear,MONTH(DecSun1+23)=12),DecSun1+23,""),IF(AND(YEAR(DecSun1+30)=CalendarYear,MONTH(DecSun1+30)=12),DecSun1+30,""))</f>
        <v>44921</v>
      </c>
      <c r="AB29" s="77">
        <f>IF(DAY(DecSun1)=1,IF(AND(YEAR(DecSun1+24)=CalendarYear,MONTH(DecSun1+24)=12),DecSun1+24,""),IF(AND(YEAR(DecSun1+31)=CalendarYear,MONTH(DecSun1+31)=12),DecSun1+31,""))</f>
        <v>44922</v>
      </c>
      <c r="AC29" s="77">
        <f>IF(DAY(DecSun1)=1,IF(AND(YEAR(DecSun1+25)=CalendarYear,MONTH(DecSun1+25)=12),DecSun1+25,""),IF(AND(YEAR(DecSun1+32)=CalendarYear,MONTH(DecSun1+32)=12),DecSun1+32,""))</f>
        <v>44923</v>
      </c>
      <c r="AD29" s="77">
        <f>IF(DAY(DecSun1)=1,IF(AND(YEAR(DecSun1+26)=CalendarYear,MONTH(DecSun1+26)=12),DecSun1+26,""),IF(AND(YEAR(DecSun1+33)=CalendarYear,MONTH(DecSun1+33)=12),DecSun1+33,""))</f>
        <v>44924</v>
      </c>
      <c r="AE29" s="78">
        <f>IF(DAY(DecSun1)=1,IF(AND(YEAR(DecSun1+27)=CalendarYear,MONTH(DecSun1+27)=12),DecSun1+27,""),IF(AND(YEAR(DecSun1+34)=CalendarYear,MONTH(DecSun1+34)=12),DecSun1+34,""))</f>
        <v>44925</v>
      </c>
      <c r="AF29" s="78">
        <f>IF(DAY(DecSun1)=1,IF(AND(YEAR(DecSun1+28)=CalendarYear,MONTH(DecSun1+28)=12),DecSun1+28,""),IF(AND(YEAR(DecSun1+35)=CalendarYear,MONTH(DecSun1+35)=12),DecSun1+35,""))</f>
        <v>44926</v>
      </c>
    </row>
    <row r="30" spans="2:32" s="71" customFormat="1" ht="26.1" customHeight="1" x14ac:dyDescent="0.3">
      <c r="B30" s="72" t="str">
        <f>IF(DAY(SepSun1)=1,IF(AND(YEAR(SepSun1+29)=CalendarYear,MONTH(SepSun1+29)=9),SepSun1+29,""),IF(AND(YEAR(SepSun1+36)=CalendarYear,MONTH(SepSun1+36)=9),SepSun1+36,""))</f>
        <v/>
      </c>
      <c r="C30" s="72" t="str">
        <f>IF(DAY(SepSun1)=1,IF(AND(YEAR(SepSun1+30)=CalendarYear,MONTH(SepSun1+30)=9),SepSun1+30,""),IF(AND(YEAR(SepSun1+37)=CalendarYear,MONTH(SepSun1+37)=9),SepSun1+37,""))</f>
        <v/>
      </c>
      <c r="D30" s="77" t="str">
        <f>IF(DAY(SepSun1)=1,IF(AND(YEAR(SepSun1+31)=CalendarYear,MONTH(SepSun1+31)=9),SepSun1+31,""),IF(AND(YEAR(SepSun1+38)=CalendarYear,MONTH(SepSun1+38)=9),SepSun1+38,""))</f>
        <v/>
      </c>
      <c r="E30" s="77" t="str">
        <f>IF(DAY(SepSun1)=1,IF(AND(YEAR(SepSun1+32)=CalendarYear,MONTH(SepSun1+32)=9),SepSun1+32,""),IF(AND(YEAR(SepSun1+39)=CalendarYear,MONTH(SepSun1+39)=9),SepSun1+39,""))</f>
        <v/>
      </c>
      <c r="F30" s="77" t="str">
        <f>IF(DAY(SepSun1)=1,IF(AND(YEAR(SepSun1+33)=CalendarYear,MONTH(SepSun1+33)=9),SepSun1+33,""),IF(AND(YEAR(SepSun1+40)=CalendarYear,MONTH(SepSun1+40)=9),SepSun1+40,""))</f>
        <v/>
      </c>
      <c r="G30" s="78" t="str">
        <f>IF(DAY(SepSun1)=1,IF(AND(YEAR(SepSun1+34)=CalendarYear,MONTH(SepSun1+34)=9),SepSun1+34,""),IF(AND(YEAR(SepSun1+41)=CalendarYear,MONTH(SepSun1+41)=9),SepSun1+41,""))</f>
        <v/>
      </c>
      <c r="H30" s="78" t="str">
        <f>IF(DAY(SepSun1)=1,IF(AND(YEAR(SepSun1+35)=CalendarYear,MONTH(SepSun1+35)=9),SepSun1+35,""),IF(AND(YEAR(SepSun1+42)=CalendarYear,MONTH(SepSun1+42)=9),SepSun1+42,""))</f>
        <v/>
      </c>
      <c r="J30" s="90">
        <f>IF(DAY(OctSun1)=1,IF(AND(YEAR(OctSun1+29)=CalendarYear,MONTH(OctSun1+29)=10),OctSun1+29,""),IF(AND(YEAR(OctSun1+36)=CalendarYear,MONTH(OctSun1+36)=10),OctSun1+36,""))</f>
        <v>44864</v>
      </c>
      <c r="K30" s="90">
        <f>IF(DAY(OctSun1)=1,IF(AND(YEAR(OctSun1+30)=CalendarYear,MONTH(OctSun1+30)=10),OctSun1+30,""),IF(AND(YEAR(OctSun1+37)=CalendarYear,MONTH(OctSun1+37)=10),OctSun1+37,""))</f>
        <v>44865</v>
      </c>
      <c r="L30" s="77" t="str">
        <f>IF(DAY(OctSun1)=1,IF(AND(YEAR(OctSun1+31)=CalendarYear,MONTH(OctSun1+31)=10),OctSun1+31,""),IF(AND(YEAR(OctSun1+38)=CalendarYear,MONTH(OctSun1+38)=10),OctSun1+38,""))</f>
        <v/>
      </c>
      <c r="M30" s="77" t="str">
        <f>IF(DAY(OctSun1)=1,IF(AND(YEAR(OctSun1+32)=CalendarYear,MONTH(OctSun1+32)=10),OctSun1+32,""),IF(AND(YEAR(OctSun1+39)=CalendarYear,MONTH(OctSun1+39)=10),OctSun1+39,""))</f>
        <v/>
      </c>
      <c r="N30" s="77" t="str">
        <f>IF(DAY(OctSun1)=1,IF(AND(YEAR(OctSun1+33)=CalendarYear,MONTH(OctSun1+33)=10),OctSun1+33,""),IF(AND(YEAR(OctSun1+40)=CalendarYear,MONTH(OctSun1+40)=10),OctSun1+40,""))</f>
        <v/>
      </c>
      <c r="O30" s="78" t="str">
        <f>IF(DAY(OctSun1)=1,IF(AND(YEAR(OctSun1+34)=CalendarYear,MONTH(OctSun1+34)=10),OctSun1+34,""),IF(AND(YEAR(OctSun1+41)=CalendarYear,MONTH(OctSun1+41)=10),OctSun1+41,""))</f>
        <v/>
      </c>
      <c r="P30" s="78" t="str">
        <f>IF(DAY(OctSun1)=1,IF(AND(YEAR(OctSun1+35)=CalendarYear,MONTH(OctSun1+35)=10),OctSun1+35,""),IF(AND(YEAR(OctSun1+42)=CalendarYear,MONTH(OctSun1+42)=10),OctSun1+42,""))</f>
        <v/>
      </c>
      <c r="R30" s="72" t="str">
        <f>IF(DAY(NovSun1)=1,IF(AND(YEAR(NovSun1+29)=CalendarYear,MONTH(NovSun1+29)=11),NovSun1+29,""),IF(AND(YEAR(NovSun1+36)=CalendarYear,MONTH(NovSun1+36)=11),NovSun1+36,""))</f>
        <v/>
      </c>
      <c r="S30" s="72" t="str">
        <f>IF(DAY(NovSun1)=1,IF(AND(YEAR(NovSun1+30)=CalendarYear,MONTH(NovSun1+30)=11),NovSun1+30,""),IF(AND(YEAR(NovSun1+37)=CalendarYear,MONTH(NovSun1+37)=11),NovSun1+37,""))</f>
        <v/>
      </c>
      <c r="T30" s="77" t="str">
        <f>IF(DAY(NovSun1)=1,IF(AND(YEAR(NovSun1+31)=CalendarYear,MONTH(NovSun1+31)=11),NovSun1+31,""),IF(AND(YEAR(NovSun1+38)=CalendarYear,MONTH(NovSun1+38)=11),NovSun1+38,""))</f>
        <v/>
      </c>
      <c r="U30" s="77" t="str">
        <f>IF(DAY(NovSun1)=1,IF(AND(YEAR(NovSun1+32)=CalendarYear,MONTH(NovSun1+32)=11),NovSun1+32,""),IF(AND(YEAR(NovSun1+39)=CalendarYear,MONTH(NovSun1+39)=11),NovSun1+39,""))</f>
        <v/>
      </c>
      <c r="V30" s="77" t="str">
        <f>IF(DAY(NovSun1)=1,IF(AND(YEAR(NovSun1+33)=CalendarYear,MONTH(NovSun1+33)=11),NovSun1+33,""),IF(AND(YEAR(NovSun1+40)=CalendarYear,MONTH(NovSun1+40)=11),NovSun1+40,""))</f>
        <v/>
      </c>
      <c r="W30" s="78" t="str">
        <f>IF(DAY(NovSun1)=1,IF(AND(YEAR(NovSun1+34)=CalendarYear,MONTH(NovSun1+34)=11),NovSun1+34,""),IF(AND(YEAR(NovSun1+41)=CalendarYear,MONTH(NovSun1+41)=11),NovSun1+41,""))</f>
        <v/>
      </c>
      <c r="X30" s="78" t="str">
        <f>IF(DAY(NovSun1)=1,IF(AND(YEAR(NovSun1+35)=CalendarYear,MONTH(NovSun1+35)=11),NovSun1+35,""),IF(AND(YEAR(NovSun1+42)=CalendarYear,MONTH(NovSun1+42)=11),NovSun1+42,""))</f>
        <v/>
      </c>
      <c r="Z30" s="72" t="str">
        <f>IF(DAY(DecSun1)=1,IF(AND(YEAR(DecSun1+29)=CalendarYear,MONTH(DecSun1+29)=12),DecSun1+29,""),IF(AND(YEAR(DecSun1+36)=CalendarYear,MONTH(DecSun1+36)=12),DecSun1+36,""))</f>
        <v/>
      </c>
      <c r="AA30" s="72" t="str">
        <f>IF(DAY(DecSun1)=1,IF(AND(YEAR(DecSun1+30)=CalendarYear,MONTH(DecSun1+30)=12),DecSun1+30,""),IF(AND(YEAR(DecSun1+37)=CalendarYear,MONTH(DecSun1+37)=12),DecSun1+37,""))</f>
        <v/>
      </c>
      <c r="AB30" s="77" t="str">
        <f>IF(DAY(DecSun1)=1,IF(AND(YEAR(DecSun1+31)=CalendarYear,MONTH(DecSun1+31)=12),DecSun1+31,""),IF(AND(YEAR(DecSun1+38)=CalendarYear,MONTH(DecSun1+38)=12),DecSun1+38,""))</f>
        <v/>
      </c>
      <c r="AC30" s="77" t="str">
        <f>IF(DAY(DecSun1)=1,IF(AND(YEAR(DecSun1+32)=CalendarYear,MONTH(DecSun1+32)=12),DecSun1+32,""),IF(AND(YEAR(DecSun1+39)=CalendarYear,MONTH(DecSun1+39)=12),DecSun1+39,""))</f>
        <v/>
      </c>
      <c r="AD30" s="77" t="str">
        <f>IF(DAY(DecSun1)=1,IF(AND(YEAR(DecSun1+33)=CalendarYear,MONTH(DecSun1+33)=12),DecSun1+33,""),IF(AND(YEAR(DecSun1+40)=CalendarYear,MONTH(DecSun1+40)=12),DecSun1+40,""))</f>
        <v/>
      </c>
      <c r="AE30" s="78" t="str">
        <f>IF(DAY(DecSun1)=1,IF(AND(YEAR(DecSun1+34)=CalendarYear,MONTH(DecSun1+34)=12),DecSun1+34,""),IF(AND(YEAR(DecSun1+41)=CalendarYear,MONTH(DecSun1+41)=12),DecSun1+41,""))</f>
        <v/>
      </c>
      <c r="AF30" s="78" t="str">
        <f>IF(DAY(DecSun1)=1,IF(AND(YEAR(DecSun1+35)=CalendarYear,MONTH(DecSun1+35)=12),DecSun1+35,""),IF(AND(YEAR(DecSun1+42)=CalendarYear,MONTH(DecSun1+42)=12),DecSun1+42,""))</f>
        <v/>
      </c>
    </row>
    <row r="31" spans="2:32" s="79" customFormat="1" ht="26.1" customHeight="1" x14ac:dyDescent="0.3"/>
    <row r="32" spans="2:32" ht="26.1" customHeight="1" x14ac:dyDescent="0.2">
      <c r="B32" s="81"/>
    </row>
  </sheetData>
  <mergeCells count="13">
    <mergeCell ref="B23:H23"/>
    <mergeCell ref="J23:P23"/>
    <mergeCell ref="R23:X23"/>
    <mergeCell ref="Z23:AF23"/>
    <mergeCell ref="AC1:AF1"/>
    <mergeCell ref="B5:H5"/>
    <mergeCell ref="J5:P5"/>
    <mergeCell ref="R5:X5"/>
    <mergeCell ref="Z5:AF5"/>
    <mergeCell ref="B14:H14"/>
    <mergeCell ref="J14:P14"/>
    <mergeCell ref="R14:X14"/>
    <mergeCell ref="Z14:AF14"/>
  </mergeCells>
  <conditionalFormatting sqref="B7:H12 J7:P12 R7:X12 Z7:AF12 B16:H21 J16:P21 R16:X21 Z16:AF21 B25:H30 J25:P30 R25:X30 Z25:AF30">
    <cfRule type="expression" dxfId="30" priority="1" stopIfTrue="1">
      <formula>NOT(ISNUMBER(B7))</formula>
    </cfRule>
    <cfRule type="expression" priority="5" stopIfTrue="1">
      <formula>B7&lt;Pattern_Start</formula>
    </cfRule>
    <cfRule type="expression" dxfId="29" priority="6" stopIfTrue="1">
      <formula>MID(Shift_Pattern,MOD(B7-Pattern_Start,LEN(Shift_Pattern))+1,1)=Shift1_Code</formula>
    </cfRule>
    <cfRule type="expression" dxfId="28" priority="7" stopIfTrue="1">
      <formula>MID(Shift_Pattern,MOD(B7-Pattern_Start,LEN(Shift_Pattern))+1,1)=Shift2_Code</formula>
    </cfRule>
    <cfRule type="expression" dxfId="27" priority="8">
      <formula>MID(Shift_Pattern,MOD(B7-Pattern_Start,LEN(Shift_Pattern))+1,1)=Shift3_Code</formula>
    </cfRule>
  </conditionalFormatting>
  <conditionalFormatting sqref="B3">
    <cfRule type="expression" dxfId="26" priority="4">
      <formula>C3=""</formula>
    </cfRule>
  </conditionalFormatting>
  <conditionalFormatting sqref="H3">
    <cfRule type="expression" dxfId="25" priority="3">
      <formula>I3=""</formula>
    </cfRule>
  </conditionalFormatting>
  <conditionalFormatting sqref="N3">
    <cfRule type="expression" dxfId="24" priority="2">
      <formula>O3=""</formula>
    </cfRule>
  </conditionalFormatting>
  <dataValidations count="4">
    <dataValidation allowBlank="1" showInputMessage="1" showErrorMessage="1" prompt="To update the time of shift, go to the Shift Pattern Tab" sqref="I3 C3"/>
    <dataValidation allowBlank="1" showInputMessage="1" showErrorMessage="1" prompt="To update the time of shift, go to the Shift Tab" sqref="O3"/>
    <dataValidation allowBlank="1" showInputMessage="1" showErrorMessage="1" prompt="Use the spin buttons to quickly change the calendar year" sqref="AC1:AF1"/>
    <dataValidation allowBlank="1" showInputMessage="1" showErrorMessage="1" promptTitle="Shift Work Calendar" prompt="Use the spin buttons to change the calendar year. _x000a__x000a_Calendar automatically shows the shift schedule for each date. Setup the shift details and pattern from the Shift Pattern tab." sqref="A1"/>
  </dataValidations>
  <printOptions horizontalCentered="1" verticalCentered="1"/>
  <pageMargins left="0.3" right="0.3" top="0.3" bottom="0.3" header="0" footer="0"/>
  <pageSetup scale="73" orientation="landscape" r:id="rId1"/>
  <drawing r:id="rId2"/>
  <legacyDrawing r:id="rId3"/>
  <mc:AlternateContent xmlns:mc="http://schemas.openxmlformats.org/markup-compatibility/2006">
    <mc:Choice Requires="x14">
      <controls>
        <mc:AlternateContent xmlns:mc="http://schemas.openxmlformats.org/markup-compatibility/2006">
          <mc:Choice Requires="x14">
            <control shapeId="13313" r:id="rId4" name="Spinner">
              <controlPr defaultSize="0" print="0" autoPict="0" altText="Use the spinner button to change calendar year or change the year in cell AE3">
                <anchor moveWithCells="1">
                  <from>
                    <xdr:col>27</xdr:col>
                    <xdr:colOff>400050</xdr:colOff>
                    <xdr:row>0</xdr:row>
                    <xdr:rowOff>342900</xdr:rowOff>
                  </from>
                  <to>
                    <xdr:col>28</xdr:col>
                    <xdr:colOff>142875</xdr:colOff>
                    <xdr:row>0</xdr:row>
                    <xdr:rowOff>647700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2" width="12.25" style="2" customWidth="1"/>
    <col min="13" max="13" width="1.625" style="2" customWidth="1"/>
    <col min="14" max="16384" width="8.75" style="2"/>
  </cols>
  <sheetData>
    <row r="1" spans="1:12" ht="9" customHeight="1" x14ac:dyDescent="0.3">
      <c r="I1" s="2" t="s">
        <v>2</v>
      </c>
    </row>
    <row r="2" spans="1:12" ht="96" customHeight="1" x14ac:dyDescent="0.3">
      <c r="B2" s="159" t="str">
        <f>"January "&amp;CalendarYear</f>
        <v>January 2022</v>
      </c>
      <c r="C2" s="159"/>
      <c r="D2" s="159"/>
      <c r="E2" s="46"/>
      <c r="F2" s="46"/>
      <c r="G2" s="46"/>
      <c r="H2" s="4"/>
    </row>
    <row r="3" spans="1:12" s="13" customFormat="1" ht="24" customHeight="1" x14ac:dyDescent="0.3">
      <c r="A3" s="12"/>
      <c r="B3" s="9" t="str">
        <f>WeekStart</f>
        <v>Sunday</v>
      </c>
      <c r="C3" s="10" t="str">
        <f t="shared" ref="C3:H3" si="0">TEXT(C4,"dddd")</f>
        <v>Monday</v>
      </c>
      <c r="D3" s="10" t="str">
        <f t="shared" si="0"/>
        <v>Tuesday</v>
      </c>
      <c r="E3" s="10" t="str">
        <f t="shared" si="0"/>
        <v>Wednesday</v>
      </c>
      <c r="F3" s="10" t="str">
        <f t="shared" si="0"/>
        <v>Thursday</v>
      </c>
      <c r="G3" s="10" t="str">
        <f t="shared" si="0"/>
        <v>Friday</v>
      </c>
      <c r="H3" s="11" t="str">
        <f t="shared" si="0"/>
        <v>Saturday</v>
      </c>
      <c r="K3" s="164" t="s">
        <v>3</v>
      </c>
      <c r="L3" s="164"/>
    </row>
    <row r="4" spans="1:12" s="6" customFormat="1" ht="24" customHeight="1" x14ac:dyDescent="0.3">
      <c r="A4" s="5"/>
      <c r="B4" s="14">
        <f t="array" ref="B4:H4">DaysAndWeeks+DATE(CalendarYear,1,1)-WEEKDAY(DATE(CalendarYear,1,1),(WeekStart="Monday")+1)+1</f>
        <v>44556</v>
      </c>
      <c r="C4" s="14">
        <v>44557</v>
      </c>
      <c r="D4" s="14">
        <v>44558</v>
      </c>
      <c r="E4" s="14">
        <v>44559</v>
      </c>
      <c r="F4" s="14">
        <v>44560</v>
      </c>
      <c r="G4" s="14">
        <v>44561</v>
      </c>
      <c r="H4" s="99">
        <v>44562</v>
      </c>
      <c r="K4" s="20" t="s">
        <v>4</v>
      </c>
      <c r="L4" s="20" t="s">
        <v>5</v>
      </c>
    </row>
    <row r="5" spans="1:12" s="18" customFormat="1" ht="56.1" customHeight="1" x14ac:dyDescent="0.3">
      <c r="A5" s="17"/>
      <c r="B5" s="16"/>
      <c r="C5" s="16"/>
      <c r="D5" s="16"/>
      <c r="E5" s="16"/>
      <c r="F5" s="16"/>
      <c r="G5" s="16"/>
      <c r="H5" s="47" t="s">
        <v>7</v>
      </c>
      <c r="K5" s="21">
        <v>2022</v>
      </c>
      <c r="L5" s="21" t="s">
        <v>0</v>
      </c>
    </row>
    <row r="6" spans="1:12" s="6" customFormat="1" ht="24" customHeight="1" x14ac:dyDescent="0.3">
      <c r="A6" s="5"/>
      <c r="B6" s="8">
        <f t="array" ref="B6:H6">DaysAndWeeks+DATE(CalendarYear,1,1)-WEEKDAY(DATE(CalendarYear,1,1),(WeekStart="Monday")+1)+8</f>
        <v>44563</v>
      </c>
      <c r="C6" s="8">
        <v>44564</v>
      </c>
      <c r="D6" s="8">
        <v>44565</v>
      </c>
      <c r="E6" s="8">
        <v>44566</v>
      </c>
      <c r="F6" s="8">
        <v>44567</v>
      </c>
      <c r="G6" s="8">
        <v>44568</v>
      </c>
      <c r="H6" s="8">
        <v>44569</v>
      </c>
    </row>
    <row r="7" spans="1:12" s="18" customFormat="1" ht="56.1" customHeight="1" x14ac:dyDescent="0.3">
      <c r="A7" s="17"/>
      <c r="B7" s="19"/>
      <c r="C7" s="19"/>
      <c r="D7" s="19"/>
      <c r="E7" s="19"/>
      <c r="F7" s="19"/>
      <c r="G7" s="19"/>
      <c r="H7" s="19"/>
    </row>
    <row r="8" spans="1:12" s="6" customFormat="1" ht="24" customHeight="1" x14ac:dyDescent="0.3">
      <c r="A8" s="5"/>
      <c r="B8" s="7">
        <f t="array" ref="B8:H8">DaysAndWeeks+DATE(CalendarYear,1,1)-WEEKDAY(DATE(CalendarYear,1,1),(WeekStart="Monday")+1)+15</f>
        <v>44570</v>
      </c>
      <c r="C8" s="7">
        <v>44571</v>
      </c>
      <c r="D8" s="7">
        <v>44572</v>
      </c>
      <c r="E8" s="7">
        <v>44573</v>
      </c>
      <c r="F8" s="7">
        <v>44574</v>
      </c>
      <c r="G8" s="7">
        <v>44575</v>
      </c>
      <c r="H8" s="7">
        <v>44576</v>
      </c>
    </row>
    <row r="9" spans="1:12" s="18" customFormat="1" ht="56.1" customHeight="1" x14ac:dyDescent="0.3">
      <c r="A9" s="17"/>
      <c r="B9" s="16"/>
      <c r="C9" s="16"/>
      <c r="D9" s="16"/>
      <c r="E9" s="16"/>
      <c r="F9" s="16"/>
      <c r="G9" s="16"/>
      <c r="H9" s="16"/>
    </row>
    <row r="10" spans="1:12" s="6" customFormat="1" ht="24" customHeight="1" x14ac:dyDescent="0.3">
      <c r="A10" s="5"/>
      <c r="B10" s="8">
        <f t="array" ref="B10:H10">DaysAndWeeks+DATE(CalendarYear,1,1)-WEEKDAY(DATE(CalendarYear,1,1),(WeekStart="Monday")+1)+22</f>
        <v>44577</v>
      </c>
      <c r="C10" s="8">
        <v>44578</v>
      </c>
      <c r="D10" s="8">
        <v>44579</v>
      </c>
      <c r="E10" s="8">
        <v>44580</v>
      </c>
      <c r="F10" s="8">
        <v>44581</v>
      </c>
      <c r="G10" s="8">
        <v>44582</v>
      </c>
      <c r="H10" s="8">
        <v>44583</v>
      </c>
    </row>
    <row r="11" spans="1:12" s="18" customFormat="1" ht="56.1" customHeight="1" x14ac:dyDescent="0.3">
      <c r="A11" s="17"/>
      <c r="B11" s="19"/>
      <c r="C11" s="19"/>
      <c r="D11" s="19"/>
      <c r="E11" s="19"/>
      <c r="F11" s="19"/>
      <c r="G11" s="19"/>
      <c r="H11" s="19"/>
    </row>
    <row r="12" spans="1:12" s="6" customFormat="1" ht="24" customHeight="1" x14ac:dyDescent="0.3">
      <c r="A12" s="5"/>
      <c r="B12" s="7">
        <f t="array" ref="B12:H12">DaysAndWeeks+DATE(CalendarYear,1,1)-WEEKDAY(DATE(CalendarYear,1,1),(WeekStart="Monday")+1)+29</f>
        <v>44584</v>
      </c>
      <c r="C12" s="7">
        <v>44585</v>
      </c>
      <c r="D12" s="7">
        <v>44586</v>
      </c>
      <c r="E12" s="7">
        <v>44587</v>
      </c>
      <c r="F12" s="7">
        <v>44588</v>
      </c>
      <c r="G12" s="7">
        <v>44589</v>
      </c>
      <c r="H12" s="7">
        <v>44590</v>
      </c>
    </row>
    <row r="13" spans="1:12" s="18" customFormat="1" ht="56.1" customHeight="1" x14ac:dyDescent="0.3">
      <c r="A13" s="17"/>
      <c r="B13" s="16"/>
      <c r="C13" s="16"/>
      <c r="D13" s="16"/>
      <c r="E13" s="16"/>
      <c r="F13" s="16"/>
      <c r="G13" s="16"/>
      <c r="H13" s="16"/>
    </row>
    <row r="14" spans="1:12" s="6" customFormat="1" ht="24" customHeight="1" x14ac:dyDescent="0.3">
      <c r="A14" s="5"/>
      <c r="B14" s="8">
        <f t="array" ref="B14:C14">DaysAndWeeks+DATE(CalendarYear,1,1)-WEEKDAY(DATE(CalendarYear,1,1),(WeekStart="Monday")+1)+36</f>
        <v>44591</v>
      </c>
      <c r="C14" s="8">
        <v>44592</v>
      </c>
      <c r="D14" s="160" t="s">
        <v>1</v>
      </c>
      <c r="E14" s="160"/>
      <c r="F14" s="160"/>
      <c r="G14" s="160"/>
      <c r="H14" s="161"/>
    </row>
    <row r="15" spans="1:12" s="18" customFormat="1" ht="56.1" customHeight="1" x14ac:dyDescent="0.3">
      <c r="A15" s="17"/>
      <c r="B15" s="19"/>
      <c r="C15" s="19"/>
      <c r="D15" s="162"/>
      <c r="E15" s="162"/>
      <c r="F15" s="162"/>
      <c r="G15" s="162"/>
      <c r="H15" s="163"/>
    </row>
  </sheetData>
  <mergeCells count="4">
    <mergeCell ref="B2:D2"/>
    <mergeCell ref="D14:H14"/>
    <mergeCell ref="D15:H15"/>
    <mergeCell ref="K3:L3"/>
  </mergeCells>
  <phoneticPr fontId="1"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ct a day from the list. Select CANCEL, then press ALT+DOWN ARROW to pick day from the drop-down list" prompt="Select week start day in this cell. Press ALT+DOWN ARROW to open drop-down list, press DOWN ARROW then ENTER to make selection" sqref="L5">
      <formula1>"Sunday, Monday"</formula1>
    </dataValidation>
    <dataValidation allowBlank="1" showInputMessage="1" showErrorMessage="1" prompt="Create a custom one-month calendar in this workbook. Customize year and starting day of the week for all months with this January worksheet. Each month is on a separate worksheet." sqref="A1"/>
    <dataValidation allowBlank="1" showInputMessage="1" showErrorMessage="1" prompt="Enter year in cell below" sqref="K4"/>
    <dataValidation allowBlank="1" showInputMessage="1" showErrorMessage="1" prompt="Select week start day in cell below" sqref="L4"/>
    <dataValidation allowBlank="1" showInputMessage="1" showErrorMessage="1" prompt="Enter year in this cell" sqref="K5"/>
    <dataValidation allowBlank="1" showInputMessage="1" showErrorMessage="1" prompt="This row contains weekday names for this calendar. This cell contains the starting day of the week. To change week start day, enter a new weekday in cell L5, in this worksheet." sqref="B3"/>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e year in this cell is automatically updated based on the year entered in cell K5. Calendar below has dates for previous and next month with lighter font shade." sqref="B2:D2"/>
    <dataValidation allowBlank="1" showInputMessage="1" showErrorMessage="1" prompt="Automatically determined weekday" sqref="C3:H3"/>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Enter year and select calendar start day in cells below. These Calendar Settings cells will not print" sqref="K3"/>
  </dataValidations>
  <printOptions horizontalCentered="1"/>
  <pageMargins left="0.25" right="0.25" top="0.5" bottom="0.5" header="0.3" footer="0.3"/>
  <pageSetup orientation="landscape" r:id="rId1"/>
  <headerFooter differentFirst="1"/>
  <customProperties>
    <customPr name="SheetChanged" r:id="rId2"/>
  </customProperties>
  <drawing r:id="rId3"/>
  <legacyDrawing r:id="rId4"/>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zoomScaleNormal="100" workbookViewId="0">
      <selection activeCell="K14" sqref="K14"/>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59" t="str">
        <f>"February "&amp;CalendarYear</f>
        <v>February 2022</v>
      </c>
      <c r="C2" s="159"/>
      <c r="D2" s="159"/>
      <c r="E2" s="3"/>
      <c r="F2" s="3"/>
      <c r="G2" s="3"/>
      <c r="H2" s="4"/>
    </row>
    <row r="3" spans="1:9" s="13" customFormat="1" ht="24" customHeight="1" x14ac:dyDescent="0.3">
      <c r="A3" s="12"/>
      <c r="B3" s="9" t="str">
        <f>WeekStart</f>
        <v>Sunday</v>
      </c>
      <c r="C3" s="10" t="str">
        <f t="shared" ref="C3:H3" si="0">TEXT(C4,"dddd")</f>
        <v>Monday</v>
      </c>
      <c r="D3" s="10" t="str">
        <f t="shared" si="0"/>
        <v>Tuesday</v>
      </c>
      <c r="E3" s="10" t="str">
        <f t="shared" si="0"/>
        <v>Wednesday</v>
      </c>
      <c r="F3" s="10" t="str">
        <f t="shared" si="0"/>
        <v>Thursday</v>
      </c>
      <c r="G3" s="10" t="str">
        <f t="shared" si="0"/>
        <v>Friday</v>
      </c>
      <c r="H3" s="11" t="str">
        <f t="shared" si="0"/>
        <v>Saturday</v>
      </c>
    </row>
    <row r="4" spans="1:9" s="6" customFormat="1" ht="24" customHeight="1" x14ac:dyDescent="0.3">
      <c r="A4" s="5"/>
      <c r="B4" s="14">
        <f t="array" ref="B4:H4">DaysAndWeeks+DATE(CalendarYear,2,1)-WEEKDAY(DATE(CalendarYear,2,1),(WeekStart="Monday")+1)+1</f>
        <v>44591</v>
      </c>
      <c r="C4" s="14">
        <v>44592</v>
      </c>
      <c r="D4" s="14">
        <v>44593</v>
      </c>
      <c r="E4" s="14">
        <v>44594</v>
      </c>
      <c r="F4" s="14">
        <v>44595</v>
      </c>
      <c r="G4" s="14">
        <v>44596</v>
      </c>
      <c r="H4" s="15">
        <v>44597</v>
      </c>
    </row>
    <row r="5" spans="1:9" s="18" customFormat="1" ht="56.1" customHeight="1" x14ac:dyDescent="0.3">
      <c r="A5" s="17"/>
      <c r="B5" s="16"/>
      <c r="C5" s="16"/>
      <c r="D5" s="16"/>
      <c r="E5" s="16"/>
      <c r="F5" s="16"/>
      <c r="G5" s="16"/>
      <c r="H5" s="16"/>
    </row>
    <row r="6" spans="1:9" s="6" customFormat="1" ht="24" customHeight="1" x14ac:dyDescent="0.3">
      <c r="A6" s="5"/>
      <c r="B6" s="8">
        <f t="array" ref="B6:H6">DaysAndWeeks+DATE(CalendarYear,2,1)-WEEKDAY(DATE(CalendarYear,2,1),(WeekStart="Monday")+1)+8</f>
        <v>44598</v>
      </c>
      <c r="C6" s="8">
        <v>44599</v>
      </c>
      <c r="D6" s="8">
        <v>44600</v>
      </c>
      <c r="E6" s="8">
        <v>44601</v>
      </c>
      <c r="F6" s="8">
        <v>44602</v>
      </c>
      <c r="G6" s="8">
        <v>44603</v>
      </c>
      <c r="H6" s="8">
        <v>44604</v>
      </c>
    </row>
    <row r="7" spans="1:9" s="18" customFormat="1" ht="56.1" customHeight="1" x14ac:dyDescent="0.3">
      <c r="A7" s="17"/>
      <c r="B7" s="19"/>
      <c r="C7" s="19"/>
      <c r="D7" s="19"/>
      <c r="E7" s="19"/>
      <c r="F7" s="19"/>
      <c r="G7" s="19"/>
      <c r="H7" s="19"/>
    </row>
    <row r="8" spans="1:9" s="6" customFormat="1" ht="24" customHeight="1" x14ac:dyDescent="0.3">
      <c r="A8" s="5"/>
      <c r="B8" s="7">
        <f t="array" ref="B8:H8">DaysAndWeeks+DATE(CalendarYear,2,1)-WEEKDAY(DATE(CalendarYear,2,1),(WeekStart="Monday")+1)+15</f>
        <v>44605</v>
      </c>
      <c r="C8" s="7">
        <v>44606</v>
      </c>
      <c r="D8" s="7">
        <v>44607</v>
      </c>
      <c r="E8" s="7">
        <v>44608</v>
      </c>
      <c r="F8" s="7">
        <v>44609</v>
      </c>
      <c r="G8" s="7">
        <v>44610</v>
      </c>
      <c r="H8" s="7">
        <v>44611</v>
      </c>
    </row>
    <row r="9" spans="1:9" s="18" customFormat="1" ht="56.1" customHeight="1" x14ac:dyDescent="0.3">
      <c r="A9" s="17"/>
      <c r="B9" s="16"/>
      <c r="C9" s="16"/>
      <c r="D9" s="16"/>
      <c r="E9" s="16"/>
      <c r="F9" s="16"/>
      <c r="G9" s="16"/>
      <c r="H9" s="16"/>
    </row>
    <row r="10" spans="1:9" s="6" customFormat="1" ht="24" customHeight="1" x14ac:dyDescent="0.3">
      <c r="A10" s="5"/>
      <c r="B10" s="8">
        <f t="array" ref="B10:H10">DaysAndWeeks+DATE(CalendarYear,2,1)-WEEKDAY(DATE(CalendarYear,2,1),(WeekStart="Monday")+1)+22</f>
        <v>44612</v>
      </c>
      <c r="C10" s="8">
        <v>44613</v>
      </c>
      <c r="D10" s="8">
        <v>44614</v>
      </c>
      <c r="E10" s="8">
        <v>44615</v>
      </c>
      <c r="F10" s="8">
        <v>44616</v>
      </c>
      <c r="G10" s="8">
        <v>44617</v>
      </c>
      <c r="H10" s="8">
        <v>44618</v>
      </c>
    </row>
    <row r="11" spans="1:9" s="18" customFormat="1" ht="56.1" customHeight="1" x14ac:dyDescent="0.3">
      <c r="A11" s="17"/>
      <c r="B11" s="19"/>
      <c r="C11" s="19"/>
      <c r="D11" s="19"/>
      <c r="E11" s="19"/>
      <c r="F11" s="19"/>
      <c r="G11" s="19"/>
      <c r="H11" s="19"/>
    </row>
    <row r="12" spans="1:9" s="6" customFormat="1" ht="24" customHeight="1" x14ac:dyDescent="0.3">
      <c r="A12" s="5"/>
      <c r="B12" s="7">
        <f t="array" ref="B12:H12">DaysAndWeeks+DATE(CalendarYear,2,1)-WEEKDAY(DATE(CalendarYear,2,1),(WeekStart="Monday")+1)+29</f>
        <v>44619</v>
      </c>
      <c r="C12" s="7">
        <v>44620</v>
      </c>
      <c r="D12" s="7">
        <v>44621</v>
      </c>
      <c r="E12" s="7">
        <v>44622</v>
      </c>
      <c r="F12" s="7">
        <v>44623</v>
      </c>
      <c r="G12" s="7">
        <v>44624</v>
      </c>
      <c r="H12" s="7">
        <v>44625</v>
      </c>
    </row>
    <row r="13" spans="1:9" s="18" customFormat="1" ht="56.1" customHeight="1" x14ac:dyDescent="0.3">
      <c r="A13" s="17"/>
      <c r="B13" s="16"/>
      <c r="C13" s="16"/>
      <c r="D13" s="16"/>
      <c r="E13" s="16"/>
      <c r="F13" s="16"/>
      <c r="G13" s="16"/>
      <c r="H13" s="16"/>
    </row>
    <row r="14" spans="1:9" s="6" customFormat="1" ht="24" customHeight="1" x14ac:dyDescent="0.3">
      <c r="A14" s="5"/>
      <c r="B14" s="8">
        <f t="array" ref="B14:C14">DaysAndWeeks+DATE(CalendarYear,2,1)-WEEKDAY(DATE(CalendarYear,2,1),(WeekStart="Monday")+1)+36</f>
        <v>44626</v>
      </c>
      <c r="C14" s="8">
        <v>44627</v>
      </c>
      <c r="D14" s="160" t="s">
        <v>1</v>
      </c>
      <c r="E14" s="160"/>
      <c r="F14" s="160"/>
      <c r="G14" s="160"/>
      <c r="H14" s="161"/>
    </row>
    <row r="15" spans="1:9" s="18" customFormat="1" ht="56.1" customHeight="1" x14ac:dyDescent="0.3">
      <c r="A15" s="17"/>
      <c r="B15" s="19"/>
      <c r="C15" s="19"/>
      <c r="D15" s="162"/>
      <c r="E15" s="162"/>
      <c r="F15" s="162"/>
      <c r="G15" s="162"/>
      <c r="H15" s="163"/>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Automatically determined weekday" sqref="C3:H3"/>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showErrorMessage="1" prompt="February month calendar" sqref="A1"/>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B050"/>
    <pageSetUpPr fitToPage="1"/>
  </sheetPr>
  <dimension ref="A1:I15"/>
  <sheetViews>
    <sheetView showGridLines="0" showRowColHeaders="0" zoomScaleNormal="100" workbookViewId="0">
      <selection activeCell="K14" sqref="K14"/>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65" t="str">
        <f>"March "&amp;CalendarYear</f>
        <v>March 2022</v>
      </c>
      <c r="C2" s="165"/>
      <c r="D2" s="165"/>
      <c r="E2" s="3"/>
      <c r="F2" s="3"/>
      <c r="G2" s="3"/>
      <c r="H2" s="4"/>
    </row>
    <row r="3" spans="1:9" s="13" customFormat="1" ht="24" customHeight="1" x14ac:dyDescent="0.3">
      <c r="A3" s="12"/>
      <c r="B3" s="25" t="str">
        <f>WeekStart</f>
        <v>Sunday</v>
      </c>
      <c r="C3" s="26" t="str">
        <f t="shared" ref="C3:H3" si="0">TEXT(C4,"dddd")</f>
        <v>Monday</v>
      </c>
      <c r="D3" s="26" t="str">
        <f t="shared" si="0"/>
        <v>Tuesday</v>
      </c>
      <c r="E3" s="26" t="str">
        <f t="shared" si="0"/>
        <v>Wednesday</v>
      </c>
      <c r="F3" s="26" t="str">
        <f t="shared" si="0"/>
        <v>Thursday</v>
      </c>
      <c r="G3" s="26" t="str">
        <f t="shared" si="0"/>
        <v>Friday</v>
      </c>
      <c r="H3" s="27" t="str">
        <f t="shared" si="0"/>
        <v>Saturday</v>
      </c>
    </row>
    <row r="4" spans="1:9" s="6" customFormat="1" ht="24" customHeight="1" x14ac:dyDescent="0.3">
      <c r="A4" s="5"/>
      <c r="B4" s="28">
        <f t="array" ref="B4:H4">DaysAndWeeks+DATE(CalendarYear,3,1)-WEEKDAY(DATE(CalendarYear,3,1),(WeekStart="Monday")+1)+1</f>
        <v>44619</v>
      </c>
      <c r="C4" s="28">
        <v>44620</v>
      </c>
      <c r="D4" s="28">
        <v>44621</v>
      </c>
      <c r="E4" s="28">
        <v>44622</v>
      </c>
      <c r="F4" s="28">
        <v>44623</v>
      </c>
      <c r="G4" s="28">
        <v>44624</v>
      </c>
      <c r="H4" s="28">
        <v>44625</v>
      </c>
    </row>
    <row r="5" spans="1:9" s="18" customFormat="1" ht="56.1" customHeight="1" x14ac:dyDescent="0.3">
      <c r="A5" s="17"/>
      <c r="B5" s="30"/>
      <c r="C5" s="30"/>
      <c r="D5" s="30"/>
      <c r="E5" s="30"/>
      <c r="F5" s="30"/>
      <c r="G5" s="30"/>
      <c r="H5" s="30"/>
    </row>
    <row r="6" spans="1:9" s="6" customFormat="1" ht="24" customHeight="1" x14ac:dyDescent="0.3">
      <c r="A6" s="5"/>
      <c r="B6" s="31">
        <f t="array" ref="B6:H6">DaysAndWeeks+DATE(CalendarYear,3,1)-WEEKDAY(DATE(CalendarYear,3,1),(WeekStart="Monday")+1)+8</f>
        <v>44626</v>
      </c>
      <c r="C6" s="31">
        <v>44627</v>
      </c>
      <c r="D6" s="31">
        <v>44628</v>
      </c>
      <c r="E6" s="31">
        <v>44629</v>
      </c>
      <c r="F6" s="31">
        <v>44630</v>
      </c>
      <c r="G6" s="31">
        <v>44631</v>
      </c>
      <c r="H6" s="31">
        <v>44632</v>
      </c>
    </row>
    <row r="7" spans="1:9" s="18" customFormat="1" ht="56.1" customHeight="1" x14ac:dyDescent="0.3">
      <c r="A7" s="17"/>
      <c r="B7" s="29"/>
      <c r="C7" s="29"/>
      <c r="D7" s="29"/>
      <c r="E7" s="29"/>
      <c r="F7" s="29"/>
      <c r="G7" s="29"/>
      <c r="H7" s="29"/>
    </row>
    <row r="8" spans="1:9" s="6" customFormat="1" ht="24" customHeight="1" x14ac:dyDescent="0.3">
      <c r="A8" s="5"/>
      <c r="B8" s="32">
        <f t="array" ref="B8:H8">DaysAndWeeks+DATE(CalendarYear,3,1)-WEEKDAY(DATE(CalendarYear,3,1),(WeekStart="Monday")+1)+15</f>
        <v>44633</v>
      </c>
      <c r="C8" s="32">
        <v>44634</v>
      </c>
      <c r="D8" s="32">
        <v>44635</v>
      </c>
      <c r="E8" s="32">
        <v>44636</v>
      </c>
      <c r="F8" s="32">
        <v>44637</v>
      </c>
      <c r="G8" s="32">
        <v>44638</v>
      </c>
      <c r="H8" s="32">
        <v>44639</v>
      </c>
    </row>
    <row r="9" spans="1:9" s="18" customFormat="1" ht="56.1" customHeight="1" x14ac:dyDescent="0.3">
      <c r="A9" s="17"/>
      <c r="B9" s="30"/>
      <c r="C9" s="30"/>
      <c r="D9" s="30"/>
      <c r="E9" s="30"/>
      <c r="F9" s="30"/>
      <c r="G9" s="30"/>
      <c r="H9" s="30"/>
    </row>
    <row r="10" spans="1:9" s="6" customFormat="1" ht="24" customHeight="1" x14ac:dyDescent="0.3">
      <c r="A10" s="5"/>
      <c r="B10" s="31">
        <f t="array" ref="B10:H10">DaysAndWeeks+DATE(CalendarYear,3,1)-WEEKDAY(DATE(CalendarYear,3,1),(WeekStart="Monday")+1)+22</f>
        <v>44640</v>
      </c>
      <c r="C10" s="31">
        <v>44641</v>
      </c>
      <c r="D10" s="31">
        <v>44642</v>
      </c>
      <c r="E10" s="31">
        <v>44643</v>
      </c>
      <c r="F10" s="31">
        <v>44644</v>
      </c>
      <c r="G10" s="31">
        <v>44645</v>
      </c>
      <c r="H10" s="31">
        <v>44646</v>
      </c>
    </row>
    <row r="11" spans="1:9" s="18" customFormat="1" ht="56.1" customHeight="1" x14ac:dyDescent="0.3">
      <c r="A11" s="17"/>
      <c r="B11" s="29"/>
      <c r="C11" s="29"/>
      <c r="D11" s="29"/>
      <c r="E11" s="29"/>
      <c r="F11" s="29"/>
      <c r="G11" s="29"/>
      <c r="H11" s="29"/>
    </row>
    <row r="12" spans="1:9" s="6" customFormat="1" ht="24" customHeight="1" x14ac:dyDescent="0.3">
      <c r="A12" s="5"/>
      <c r="B12" s="32">
        <f t="array" ref="B12:H12">DaysAndWeeks+DATE(CalendarYear,3,1)-WEEKDAY(DATE(CalendarYear,3,1),(WeekStart="Monday")+1)+29</f>
        <v>44647</v>
      </c>
      <c r="C12" s="32">
        <v>44648</v>
      </c>
      <c r="D12" s="32">
        <v>44649</v>
      </c>
      <c r="E12" s="32">
        <v>44650</v>
      </c>
      <c r="F12" s="32">
        <v>44651</v>
      </c>
      <c r="G12" s="32">
        <v>44652</v>
      </c>
      <c r="H12" s="32">
        <v>44653</v>
      </c>
    </row>
    <row r="13" spans="1:9" s="18" customFormat="1" ht="56.1" customHeight="1" x14ac:dyDescent="0.3">
      <c r="A13" s="17"/>
      <c r="B13" s="30"/>
      <c r="C13" s="30"/>
      <c r="D13" s="30"/>
      <c r="E13" s="30"/>
      <c r="F13" s="30"/>
      <c r="G13" s="30"/>
      <c r="H13" s="30"/>
    </row>
    <row r="14" spans="1:9" s="6" customFormat="1" ht="24" customHeight="1" x14ac:dyDescent="0.3">
      <c r="A14" s="5"/>
      <c r="B14" s="31">
        <f t="array" ref="B14:C14">DaysAndWeeks+DATE(CalendarYear,3,1)-WEEKDAY(DATE(CalendarYear,3,1),(WeekStart="Monday")+1)+36</f>
        <v>44654</v>
      </c>
      <c r="C14" s="31">
        <v>44655</v>
      </c>
      <c r="D14" s="166" t="s">
        <v>1</v>
      </c>
      <c r="E14" s="166"/>
      <c r="F14" s="166"/>
      <c r="G14" s="166"/>
      <c r="H14" s="167"/>
    </row>
    <row r="15" spans="1:9" s="18" customFormat="1" ht="56.1" customHeight="1" x14ac:dyDescent="0.3">
      <c r="A15" s="17"/>
      <c r="B15" s="29"/>
      <c r="C15" s="29"/>
      <c r="D15" s="168"/>
      <c r="E15" s="168"/>
      <c r="F15" s="168"/>
      <c r="G15" s="168"/>
      <c r="H15" s="169"/>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March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Automatically determined weekday" sqref="C3:H3"/>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This row contains weekday names for this calendar. This cell contains the starting day of the week. To change week start day, select a new weekday in January worksheet cell L5." sqref="B3"/>
  </dataValidations>
  <printOptions horizontalCentered="1"/>
  <pageMargins left="0.25" right="0.25" top="0.5" bottom="0.5" header="0.3" footer="0.3"/>
  <pageSetup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L17" sqref="L17"/>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65" t="str">
        <f>"April "&amp;CalendarYear</f>
        <v>April 2022</v>
      </c>
      <c r="C2" s="165"/>
      <c r="D2" s="165"/>
      <c r="E2" s="3"/>
      <c r="F2" s="3"/>
      <c r="G2" s="3"/>
      <c r="H2" s="4"/>
    </row>
    <row r="3" spans="1:9" s="13" customFormat="1" ht="24" customHeight="1" x14ac:dyDescent="0.3">
      <c r="A3" s="12"/>
      <c r="B3" s="25" t="str">
        <f>WeekStart</f>
        <v>Sunday</v>
      </c>
      <c r="C3" s="26" t="str">
        <f t="shared" ref="C3:H3" si="0">TEXT(C4,"dddd")</f>
        <v>Monday</v>
      </c>
      <c r="D3" s="26" t="str">
        <f t="shared" si="0"/>
        <v>Tuesday</v>
      </c>
      <c r="E3" s="26" t="str">
        <f t="shared" si="0"/>
        <v>Wednesday</v>
      </c>
      <c r="F3" s="26" t="str">
        <f t="shared" si="0"/>
        <v>Thursday</v>
      </c>
      <c r="G3" s="26" t="str">
        <f t="shared" si="0"/>
        <v>Friday</v>
      </c>
      <c r="H3" s="27" t="str">
        <f t="shared" si="0"/>
        <v>Saturday</v>
      </c>
    </row>
    <row r="4" spans="1:9" s="6" customFormat="1" ht="24" customHeight="1" x14ac:dyDescent="0.3">
      <c r="A4" s="5"/>
      <c r="B4" s="28">
        <f t="array" ref="B4:H4">DaysAndWeeks+DATE(CalendarYear,4,1)-WEEKDAY(DATE(CalendarYear,4,1),(WeekStart="Monday")+1)+1</f>
        <v>44647</v>
      </c>
      <c r="C4" s="28">
        <v>44648</v>
      </c>
      <c r="D4" s="28">
        <v>44649</v>
      </c>
      <c r="E4" s="28">
        <v>44650</v>
      </c>
      <c r="F4" s="28">
        <v>44651</v>
      </c>
      <c r="G4" s="28">
        <v>44652</v>
      </c>
      <c r="H4" s="28">
        <v>44653</v>
      </c>
    </row>
    <row r="5" spans="1:9" s="18" customFormat="1" ht="56.1" customHeight="1" x14ac:dyDescent="0.3">
      <c r="A5" s="17"/>
      <c r="B5" s="30"/>
      <c r="C5" s="30"/>
      <c r="D5" s="30"/>
      <c r="E5" s="30"/>
      <c r="F5" s="30"/>
      <c r="G5" s="30"/>
      <c r="H5" s="30"/>
    </row>
    <row r="6" spans="1:9" s="6" customFormat="1" ht="24" customHeight="1" x14ac:dyDescent="0.3">
      <c r="A6" s="5"/>
      <c r="B6" s="31">
        <f t="array" ref="B6:H6">DaysAndWeeks+DATE(CalendarYear,4,1)-WEEKDAY(DATE(CalendarYear,4,1),(WeekStart="Monday")+1)+8</f>
        <v>44654</v>
      </c>
      <c r="C6" s="31">
        <v>44655</v>
      </c>
      <c r="D6" s="31">
        <v>44656</v>
      </c>
      <c r="E6" s="31">
        <v>44657</v>
      </c>
      <c r="F6" s="31">
        <v>44658</v>
      </c>
      <c r="G6" s="31">
        <v>44659</v>
      </c>
      <c r="H6" s="31">
        <v>44660</v>
      </c>
    </row>
    <row r="7" spans="1:9" s="18" customFormat="1" ht="56.1" customHeight="1" x14ac:dyDescent="0.3">
      <c r="A7" s="17"/>
      <c r="B7" s="29"/>
      <c r="C7" s="29"/>
      <c r="D7" s="29"/>
      <c r="E7" s="29"/>
      <c r="F7" s="29"/>
      <c r="G7" s="29"/>
      <c r="H7" s="29"/>
    </row>
    <row r="8" spans="1:9" s="6" customFormat="1" ht="24" customHeight="1" x14ac:dyDescent="0.3">
      <c r="A8" s="5"/>
      <c r="B8" s="32">
        <f t="array" ref="B8:H8">DaysAndWeeks+DATE(CalendarYear,4,1)-WEEKDAY(DATE(CalendarYear,4,1),(WeekStart="Monday")+1)+15</f>
        <v>44661</v>
      </c>
      <c r="C8" s="32">
        <v>44662</v>
      </c>
      <c r="D8" s="32">
        <v>44663</v>
      </c>
      <c r="E8" s="32">
        <v>44664</v>
      </c>
      <c r="F8" s="32">
        <v>44665</v>
      </c>
      <c r="G8" s="32">
        <v>44666</v>
      </c>
      <c r="H8" s="32">
        <v>44667</v>
      </c>
    </row>
    <row r="9" spans="1:9" s="18" customFormat="1" ht="56.1" customHeight="1" x14ac:dyDescent="0.3">
      <c r="A9" s="17"/>
      <c r="B9" s="30"/>
      <c r="C9" s="30"/>
      <c r="D9" s="30"/>
      <c r="E9" s="30"/>
      <c r="F9" s="30"/>
      <c r="G9" s="30"/>
      <c r="H9" s="30"/>
    </row>
    <row r="10" spans="1:9" s="6" customFormat="1" ht="24" customHeight="1" x14ac:dyDescent="0.3">
      <c r="A10" s="5"/>
      <c r="B10" s="31">
        <f t="array" ref="B10:H10">DaysAndWeeks+DATE(CalendarYear,4,1)-WEEKDAY(DATE(CalendarYear,4,1),(WeekStart="Monday")+1)+22</f>
        <v>44668</v>
      </c>
      <c r="C10" s="31">
        <v>44669</v>
      </c>
      <c r="D10" s="31">
        <v>44670</v>
      </c>
      <c r="E10" s="31">
        <v>44671</v>
      </c>
      <c r="F10" s="31">
        <v>44672</v>
      </c>
      <c r="G10" s="31">
        <v>44673</v>
      </c>
      <c r="H10" s="31">
        <v>44674</v>
      </c>
    </row>
    <row r="11" spans="1:9" s="18" customFormat="1" ht="56.1" customHeight="1" x14ac:dyDescent="0.3">
      <c r="A11" s="17"/>
      <c r="B11" s="29"/>
      <c r="C11" s="29"/>
      <c r="D11" s="29"/>
      <c r="E11" s="29"/>
      <c r="F11" s="29"/>
      <c r="G11" s="29"/>
      <c r="H11" s="29"/>
    </row>
    <row r="12" spans="1:9" s="6" customFormat="1" ht="24" customHeight="1" x14ac:dyDescent="0.3">
      <c r="A12" s="5"/>
      <c r="B12" s="32">
        <f t="array" ref="B12:H12">DaysAndWeeks+DATE(CalendarYear,4,1)-WEEKDAY(DATE(CalendarYear,4,1),(WeekStart="Monday")+1)+29</f>
        <v>44675</v>
      </c>
      <c r="C12" s="32">
        <v>44676</v>
      </c>
      <c r="D12" s="32">
        <v>44677</v>
      </c>
      <c r="E12" s="32">
        <v>44678</v>
      </c>
      <c r="F12" s="32">
        <v>44679</v>
      </c>
      <c r="G12" s="32">
        <v>44680</v>
      </c>
      <c r="H12" s="32">
        <v>44681</v>
      </c>
    </row>
    <row r="13" spans="1:9" s="18" customFormat="1" ht="56.1" customHeight="1" x14ac:dyDescent="0.3">
      <c r="A13" s="17"/>
      <c r="B13" s="30"/>
      <c r="C13" s="30"/>
      <c r="D13" s="30"/>
      <c r="E13" s="30"/>
      <c r="F13" s="30"/>
      <c r="G13" s="30"/>
      <c r="H13" s="30"/>
    </row>
    <row r="14" spans="1:9" s="6" customFormat="1" ht="24" customHeight="1" x14ac:dyDescent="0.3">
      <c r="A14" s="5"/>
      <c r="B14" s="31">
        <f t="array" ref="B14:C14">DaysAndWeeks+DATE(CalendarYear,4,1)-WEEKDAY(DATE(CalendarYear,4,1),(WeekStart="Monday")+1)+36</f>
        <v>44682</v>
      </c>
      <c r="C14" s="31">
        <v>44683</v>
      </c>
      <c r="D14" s="166" t="s">
        <v>1</v>
      </c>
      <c r="E14" s="166"/>
      <c r="F14" s="166"/>
      <c r="G14" s="166"/>
      <c r="H14" s="167"/>
    </row>
    <row r="15" spans="1:9" s="18" customFormat="1" ht="56.1" customHeight="1" x14ac:dyDescent="0.3">
      <c r="A15" s="17"/>
      <c r="B15" s="29"/>
      <c r="C15" s="29"/>
      <c r="D15" s="168"/>
      <c r="E15" s="168"/>
      <c r="F15" s="168"/>
      <c r="G15" s="168"/>
      <c r="H15" s="169"/>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Automatically determined weekday" sqref="C3:H3"/>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April month calendar" sqref="A1"/>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
    <tabColor rgb="FF00B050"/>
    <pageSetUpPr fitToPage="1"/>
  </sheetPr>
  <dimension ref="A1:I15"/>
  <sheetViews>
    <sheetView showGridLines="0" showRowColHeaders="0" workbookViewId="0">
      <selection activeCell="E11" sqref="E11"/>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65" t="str">
        <f>"May "&amp;CalendarYear</f>
        <v>May 2022</v>
      </c>
      <c r="C2" s="165"/>
      <c r="D2" s="165"/>
      <c r="E2" s="3"/>
      <c r="F2" s="3"/>
      <c r="G2" s="3"/>
      <c r="H2" s="4"/>
    </row>
    <row r="3" spans="1:9" s="13" customFormat="1" ht="24" customHeight="1" x14ac:dyDescent="0.3">
      <c r="A3" s="12"/>
      <c r="B3" s="25" t="str">
        <f>WeekStart</f>
        <v>Sunday</v>
      </c>
      <c r="C3" s="26" t="str">
        <f t="shared" ref="C3:H3" si="0">TEXT(C4,"dddd")</f>
        <v>Monday</v>
      </c>
      <c r="D3" s="26" t="str">
        <f t="shared" si="0"/>
        <v>Tuesday</v>
      </c>
      <c r="E3" s="26" t="str">
        <f t="shared" si="0"/>
        <v>Wednesday</v>
      </c>
      <c r="F3" s="26" t="str">
        <f t="shared" si="0"/>
        <v>Thursday</v>
      </c>
      <c r="G3" s="26" t="str">
        <f t="shared" si="0"/>
        <v>Friday</v>
      </c>
      <c r="H3" s="27" t="str">
        <f t="shared" si="0"/>
        <v>Saturday</v>
      </c>
    </row>
    <row r="4" spans="1:9" s="6" customFormat="1" ht="24" customHeight="1" x14ac:dyDescent="0.3">
      <c r="A4" s="5"/>
      <c r="B4" s="28">
        <f t="array" ref="B4:H4">DaysAndWeeks+DATE(CalendarYear,5,1)-WEEKDAY(DATE(CalendarYear,5,1),(WeekStart="Monday")+1)+1</f>
        <v>44682</v>
      </c>
      <c r="C4" s="28">
        <v>44683</v>
      </c>
      <c r="D4" s="28">
        <v>44684</v>
      </c>
      <c r="E4" s="28">
        <v>44685</v>
      </c>
      <c r="F4" s="28">
        <v>44686</v>
      </c>
      <c r="G4" s="28">
        <v>44687</v>
      </c>
      <c r="H4" s="28">
        <v>44688</v>
      </c>
    </row>
    <row r="5" spans="1:9" s="18" customFormat="1" ht="56.1" customHeight="1" x14ac:dyDescent="0.3">
      <c r="A5" s="17"/>
      <c r="B5" s="30"/>
      <c r="C5" s="30"/>
      <c r="D5" s="30"/>
      <c r="E5" s="30"/>
      <c r="F5" s="30"/>
      <c r="G5" s="30"/>
      <c r="H5" s="30"/>
    </row>
    <row r="6" spans="1:9" s="6" customFormat="1" ht="24" customHeight="1" x14ac:dyDescent="0.3">
      <c r="A6" s="5"/>
      <c r="B6" s="31">
        <f t="array" ref="B6:H6">DaysAndWeeks+DATE(CalendarYear,5,1)-WEEKDAY(DATE(CalendarYear,5,1),(WeekStart="Monday")+1)+8</f>
        <v>44689</v>
      </c>
      <c r="C6" s="31">
        <v>44690</v>
      </c>
      <c r="D6" s="31">
        <v>44691</v>
      </c>
      <c r="E6" s="31">
        <v>44692</v>
      </c>
      <c r="F6" s="31">
        <v>44693</v>
      </c>
      <c r="G6" s="31">
        <v>44694</v>
      </c>
      <c r="H6" s="31">
        <v>44695</v>
      </c>
    </row>
    <row r="7" spans="1:9" s="18" customFormat="1" ht="56.1" customHeight="1" x14ac:dyDescent="0.3">
      <c r="A7" s="17"/>
      <c r="B7" s="29"/>
      <c r="C7" s="29"/>
      <c r="D7" s="29"/>
      <c r="E7" s="29"/>
      <c r="F7" s="29"/>
      <c r="G7" s="29"/>
      <c r="H7" s="29"/>
    </row>
    <row r="8" spans="1:9" s="6" customFormat="1" ht="24" customHeight="1" x14ac:dyDescent="0.3">
      <c r="A8" s="5"/>
      <c r="B8" s="32">
        <f t="array" ref="B8:H8">DaysAndWeeks+DATE(CalendarYear,5,1)-WEEKDAY(DATE(CalendarYear,5,1),(WeekStart="Monday")+1)+15</f>
        <v>44696</v>
      </c>
      <c r="C8" s="32">
        <v>44697</v>
      </c>
      <c r="D8" s="32">
        <v>44698</v>
      </c>
      <c r="E8" s="32">
        <v>44699</v>
      </c>
      <c r="F8" s="32">
        <v>44700</v>
      </c>
      <c r="G8" s="32">
        <v>44701</v>
      </c>
      <c r="H8" s="32">
        <v>44702</v>
      </c>
    </row>
    <row r="9" spans="1:9" s="18" customFormat="1" ht="56.1" customHeight="1" x14ac:dyDescent="0.3">
      <c r="A9" s="17"/>
      <c r="B9" s="30"/>
      <c r="C9" s="30"/>
      <c r="D9" s="30"/>
      <c r="E9" s="30"/>
      <c r="F9" s="30"/>
      <c r="G9" s="30"/>
      <c r="H9" s="30"/>
    </row>
    <row r="10" spans="1:9" s="6" customFormat="1" ht="24" customHeight="1" x14ac:dyDescent="0.3">
      <c r="A10" s="5"/>
      <c r="B10" s="31">
        <f t="array" ref="B10:H10">DaysAndWeeks+DATE(CalendarYear,5,1)-WEEKDAY(DATE(CalendarYear,5,1),(WeekStart="Monday")+1)+22</f>
        <v>44703</v>
      </c>
      <c r="C10" s="112">
        <v>44704</v>
      </c>
      <c r="D10" s="31">
        <v>44705</v>
      </c>
      <c r="E10" s="31">
        <v>44706</v>
      </c>
      <c r="F10" s="31">
        <v>44707</v>
      </c>
      <c r="G10" s="31">
        <v>44708</v>
      </c>
      <c r="H10" s="31">
        <v>44709</v>
      </c>
    </row>
    <row r="11" spans="1:9" s="18" customFormat="1" ht="56.1" customHeight="1" x14ac:dyDescent="0.3">
      <c r="A11" s="17"/>
      <c r="B11" s="29"/>
      <c r="C11" s="113" t="s">
        <v>35</v>
      </c>
      <c r="D11" s="29"/>
      <c r="E11" s="29"/>
      <c r="F11" s="29"/>
      <c r="G11" s="29"/>
      <c r="H11" s="29"/>
    </row>
    <row r="12" spans="1:9" s="6" customFormat="1" ht="24" customHeight="1" x14ac:dyDescent="0.3">
      <c r="A12" s="5"/>
      <c r="B12" s="32">
        <f t="array" ref="B12:H12">DaysAndWeeks+DATE(CalendarYear,5,1)-WEEKDAY(DATE(CalendarYear,5,1),(WeekStart="Monday")+1)+29</f>
        <v>44710</v>
      </c>
      <c r="C12" s="32">
        <v>44711</v>
      </c>
      <c r="D12" s="32">
        <v>44712</v>
      </c>
      <c r="E12" s="32">
        <v>44713</v>
      </c>
      <c r="F12" s="32">
        <v>44714</v>
      </c>
      <c r="G12" s="32">
        <v>44715</v>
      </c>
      <c r="H12" s="32">
        <v>44716</v>
      </c>
    </row>
    <row r="13" spans="1:9" s="18" customFormat="1" ht="56.1" customHeight="1" x14ac:dyDescent="0.3">
      <c r="A13" s="17"/>
      <c r="B13" s="30"/>
      <c r="C13" s="30"/>
      <c r="D13" s="30"/>
      <c r="E13" s="30"/>
      <c r="F13" s="30"/>
      <c r="G13" s="30"/>
      <c r="H13" s="30"/>
    </row>
    <row r="14" spans="1:9" s="6" customFormat="1" ht="24" customHeight="1" x14ac:dyDescent="0.3">
      <c r="A14" s="5"/>
      <c r="B14" s="31">
        <f t="array" ref="B14:C14">DaysAndWeeks+DATE(CalendarYear,5,1)-WEEKDAY(DATE(CalendarYear,5,1),(WeekStart="Monday")+1)+36</f>
        <v>44717</v>
      </c>
      <c r="C14" s="31">
        <v>44718</v>
      </c>
      <c r="D14" s="166" t="s">
        <v>1</v>
      </c>
      <c r="E14" s="166"/>
      <c r="F14" s="166"/>
      <c r="G14" s="166"/>
      <c r="H14" s="167"/>
    </row>
    <row r="15" spans="1:9" s="18" customFormat="1" ht="56.1" customHeight="1" x14ac:dyDescent="0.3">
      <c r="A15" s="17"/>
      <c r="B15" s="29"/>
      <c r="C15" s="29"/>
      <c r="D15" s="168"/>
      <c r="E15" s="168"/>
      <c r="F15" s="168"/>
      <c r="G15" s="168"/>
      <c r="H15" s="169"/>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Automatically determined weekday" sqref="C3:H3"/>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May month calendar" sqref="A1"/>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This row contains weekday names for this calendar. This cell contains the starting day of the week. To change week start day, select a new weekday in January worksheet cell L5." sqref="B3"/>
  </dataValidations>
  <printOptions horizontalCentered="1"/>
  <pageMargins left="0.25" right="0.25" top="0.5" bottom="0.5" header="0.3" footer="0.3"/>
  <pageSetup orientation="landscape" r:id="rId1"/>
  <headerFooter differentFirst="1"/>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zoomScaleNormal="100" workbookViewId="0">
      <selection activeCell="G13" sqref="G13"/>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0" t="str">
        <f>"June "&amp;CalendarYear</f>
        <v>June 2022</v>
      </c>
      <c r="C2" s="170"/>
      <c r="D2" s="170"/>
      <c r="E2" s="3"/>
      <c r="F2" s="3"/>
      <c r="G2" s="3"/>
      <c r="H2" s="4"/>
    </row>
    <row r="3" spans="1:9" s="13" customFormat="1" ht="24" customHeight="1" x14ac:dyDescent="0.3">
      <c r="A3" s="12"/>
      <c r="B3" s="33" t="str">
        <f>WeekStart</f>
        <v>Sunday</v>
      </c>
      <c r="C3" s="34" t="str">
        <f t="shared" ref="C3:H3" si="0">TEXT(C4,"dddd")</f>
        <v>Monday</v>
      </c>
      <c r="D3" s="34" t="str">
        <f t="shared" si="0"/>
        <v>Tuesday</v>
      </c>
      <c r="E3" s="34" t="str">
        <f t="shared" si="0"/>
        <v>Wednesday</v>
      </c>
      <c r="F3" s="34" t="str">
        <f t="shared" si="0"/>
        <v>Thursday</v>
      </c>
      <c r="G3" s="34" t="str">
        <f t="shared" si="0"/>
        <v>Friday</v>
      </c>
      <c r="H3" s="35" t="str">
        <f t="shared" si="0"/>
        <v>Saturday</v>
      </c>
    </row>
    <row r="4" spans="1:9" s="6" customFormat="1" ht="24" customHeight="1" x14ac:dyDescent="0.3">
      <c r="A4" s="5"/>
      <c r="B4" s="36">
        <f t="array" ref="B4:H4">DaysAndWeeks+DATE(CalendarYear,6,1)-WEEKDAY(DATE(CalendarYear,6,1),(WeekStart="Monday")+1)+1</f>
        <v>44710</v>
      </c>
      <c r="C4" s="36">
        <v>44711</v>
      </c>
      <c r="D4" s="36">
        <v>44712</v>
      </c>
      <c r="E4" s="36">
        <v>44713</v>
      </c>
      <c r="F4" s="36">
        <v>44714</v>
      </c>
      <c r="G4" s="36">
        <v>44715</v>
      </c>
      <c r="H4" s="36">
        <v>44716</v>
      </c>
    </row>
    <row r="5" spans="1:9" s="18" customFormat="1" ht="56.1" customHeight="1" x14ac:dyDescent="0.3">
      <c r="A5" s="17"/>
      <c r="B5" s="38"/>
      <c r="C5" s="38"/>
      <c r="D5" s="38"/>
      <c r="E5" s="38"/>
      <c r="F5" s="38"/>
      <c r="G5" s="38"/>
      <c r="H5" s="38"/>
    </row>
    <row r="6" spans="1:9" s="6" customFormat="1" ht="24" customHeight="1" x14ac:dyDescent="0.3">
      <c r="A6" s="5"/>
      <c r="B6" s="39">
        <f t="array" ref="B6:H6">DaysAndWeeks+DATE(CalendarYear,6,1)-WEEKDAY(DATE(CalendarYear,6,1),(WeekStart="Monday")+1)+8</f>
        <v>44717</v>
      </c>
      <c r="C6" s="39">
        <v>44718</v>
      </c>
      <c r="D6" s="39">
        <v>44719</v>
      </c>
      <c r="E6" s="39">
        <v>44720</v>
      </c>
      <c r="F6" s="39">
        <v>44721</v>
      </c>
      <c r="G6" s="39">
        <v>44722</v>
      </c>
      <c r="H6" s="39">
        <v>44723</v>
      </c>
    </row>
    <row r="7" spans="1:9" s="18" customFormat="1" ht="56.1" customHeight="1" x14ac:dyDescent="0.3">
      <c r="A7" s="17"/>
      <c r="B7" s="37"/>
      <c r="C7" s="37"/>
      <c r="D7" s="37"/>
      <c r="E7" s="37"/>
      <c r="F7" s="37"/>
      <c r="G7" s="37"/>
      <c r="H7" s="37"/>
    </row>
    <row r="8" spans="1:9" s="6" customFormat="1" ht="24" customHeight="1" x14ac:dyDescent="0.3">
      <c r="A8" s="5"/>
      <c r="B8" s="40">
        <f t="array" ref="B8:H8">DaysAndWeeks+DATE(CalendarYear,6,1)-WEEKDAY(DATE(CalendarYear,6,1),(WeekStart="Monday")+1)+15</f>
        <v>44724</v>
      </c>
      <c r="C8" s="115">
        <v>44725</v>
      </c>
      <c r="D8" s="40">
        <v>44726</v>
      </c>
      <c r="E8" s="40">
        <v>44727</v>
      </c>
      <c r="F8" s="40">
        <v>44728</v>
      </c>
      <c r="G8" s="40">
        <v>44729</v>
      </c>
      <c r="H8" s="40">
        <v>44730</v>
      </c>
    </row>
    <row r="9" spans="1:9" s="18" customFormat="1" ht="56.1" customHeight="1" x14ac:dyDescent="0.3">
      <c r="A9" s="17"/>
      <c r="B9" s="38"/>
      <c r="C9" s="119" t="s">
        <v>37</v>
      </c>
      <c r="D9" s="38"/>
      <c r="E9" s="38"/>
      <c r="F9" s="38"/>
      <c r="G9" s="38"/>
      <c r="H9" s="38"/>
    </row>
    <row r="10" spans="1:9" s="6" customFormat="1" ht="24" customHeight="1" x14ac:dyDescent="0.3">
      <c r="A10" s="5"/>
      <c r="B10" s="39">
        <f t="array" ref="B10:H10">DaysAndWeeks+DATE(CalendarYear,6,1)-WEEKDAY(DATE(CalendarYear,6,1),(WeekStart="Monday")+1)+22</f>
        <v>44731</v>
      </c>
      <c r="C10" s="39">
        <v>44732</v>
      </c>
      <c r="D10" s="39">
        <v>44733</v>
      </c>
      <c r="E10" s="39">
        <v>44734</v>
      </c>
      <c r="F10" s="96">
        <v>44735</v>
      </c>
      <c r="G10" s="39">
        <v>44736</v>
      </c>
      <c r="H10" s="39">
        <v>44737</v>
      </c>
    </row>
    <row r="11" spans="1:9" s="18" customFormat="1" ht="56.1" customHeight="1" x14ac:dyDescent="0.3">
      <c r="A11" s="17"/>
      <c r="B11" s="37"/>
      <c r="C11" s="37"/>
      <c r="D11" s="37"/>
      <c r="E11" s="37"/>
      <c r="F11" s="100" t="s">
        <v>6</v>
      </c>
      <c r="G11" s="37"/>
      <c r="H11" s="37"/>
    </row>
    <row r="12" spans="1:9" s="6" customFormat="1" ht="24" customHeight="1" x14ac:dyDescent="0.3">
      <c r="A12" s="5"/>
      <c r="B12" s="40">
        <f t="array" ref="B12:H12">DaysAndWeeks+DATE(CalendarYear,6,1)-WEEKDAY(DATE(CalendarYear,6,1),(WeekStart="Monday")+1)+29</f>
        <v>44738</v>
      </c>
      <c r="C12" s="40">
        <v>44739</v>
      </c>
      <c r="D12" s="40">
        <v>44740</v>
      </c>
      <c r="E12" s="40">
        <v>44741</v>
      </c>
      <c r="F12" s="117">
        <v>44742</v>
      </c>
      <c r="G12" s="40">
        <v>44743</v>
      </c>
      <c r="H12" s="40">
        <v>44744</v>
      </c>
    </row>
    <row r="13" spans="1:9" s="18" customFormat="1" ht="56.1" customHeight="1" x14ac:dyDescent="0.3">
      <c r="A13" s="17"/>
      <c r="B13" s="38"/>
      <c r="C13" s="38"/>
      <c r="D13" s="38"/>
      <c r="E13" s="38"/>
      <c r="F13" s="118" t="s">
        <v>36</v>
      </c>
      <c r="G13" s="38"/>
      <c r="H13" s="38"/>
    </row>
    <row r="14" spans="1:9" s="6" customFormat="1" ht="24" customHeight="1" x14ac:dyDescent="0.3">
      <c r="A14" s="5"/>
      <c r="B14" s="39">
        <f t="array" ref="B14:C14">DaysAndWeeks+DATE(CalendarYear,6,1)-WEEKDAY(DATE(CalendarYear,6,1),(WeekStart="Monday")+1)+36</f>
        <v>44745</v>
      </c>
      <c r="C14" s="39">
        <v>44746</v>
      </c>
      <c r="D14" s="171" t="s">
        <v>1</v>
      </c>
      <c r="E14" s="171"/>
      <c r="F14" s="171"/>
      <c r="G14" s="171"/>
      <c r="H14" s="172"/>
    </row>
    <row r="15" spans="1:9" s="18" customFormat="1" ht="56.1" customHeight="1" x14ac:dyDescent="0.3">
      <c r="A15" s="17"/>
      <c r="B15" s="37"/>
      <c r="C15" s="37"/>
      <c r="D15" s="173"/>
      <c r="E15" s="173"/>
      <c r="F15" s="173"/>
      <c r="G15" s="173"/>
      <c r="H15" s="174"/>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Automatically determined weekday" sqref="C3:H3"/>
    <dataValidation allowBlank="1" showInputMessage="1" showErrorMessage="1" prompt="June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B15" sqref="B15"/>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0" t="str">
        <f>"July "&amp;CalendarYear</f>
        <v>July 2022</v>
      </c>
      <c r="C2" s="170"/>
      <c r="D2" s="170"/>
      <c r="E2" s="3"/>
      <c r="F2" s="3"/>
      <c r="G2" s="3"/>
      <c r="H2" s="4"/>
    </row>
    <row r="3" spans="1:9" s="13" customFormat="1" ht="24" customHeight="1" x14ac:dyDescent="0.3">
      <c r="A3" s="12"/>
      <c r="B3" s="33" t="str">
        <f>WeekStart</f>
        <v>Sunday</v>
      </c>
      <c r="C3" s="34" t="str">
        <f t="shared" ref="C3:H3" si="0">TEXT(C4,"dddd")</f>
        <v>Monday</v>
      </c>
      <c r="D3" s="34" t="str">
        <f t="shared" si="0"/>
        <v>Tuesday</v>
      </c>
      <c r="E3" s="34" t="str">
        <f t="shared" si="0"/>
        <v>Wednesday</v>
      </c>
      <c r="F3" s="34" t="str">
        <f t="shared" si="0"/>
        <v>Thursday</v>
      </c>
      <c r="G3" s="34" t="str">
        <f t="shared" si="0"/>
        <v>Friday</v>
      </c>
      <c r="H3" s="35" t="str">
        <f t="shared" si="0"/>
        <v>Saturday</v>
      </c>
    </row>
    <row r="4" spans="1:9" s="6" customFormat="1" ht="24" customHeight="1" x14ac:dyDescent="0.3">
      <c r="A4" s="5"/>
      <c r="B4" s="36">
        <f t="array" ref="B4:H4">DaysAndWeeks+DATE(CalendarYear,7,1)-WEEKDAY(DATE(CalendarYear,7,1),(WeekStart="Monday")+1)+1</f>
        <v>44738</v>
      </c>
      <c r="C4" s="36">
        <v>44739</v>
      </c>
      <c r="D4" s="36">
        <v>44740</v>
      </c>
      <c r="E4" s="36">
        <v>44741</v>
      </c>
      <c r="F4" s="36">
        <v>44742</v>
      </c>
      <c r="G4" s="36">
        <v>44743</v>
      </c>
      <c r="H4" s="36">
        <v>44744</v>
      </c>
    </row>
    <row r="5" spans="1:9" s="18" customFormat="1" ht="56.1" customHeight="1" x14ac:dyDescent="0.3">
      <c r="A5" s="17"/>
      <c r="B5" s="38"/>
      <c r="C5" s="38"/>
      <c r="D5" s="38"/>
      <c r="E5" s="38"/>
      <c r="F5" s="38"/>
      <c r="G5" s="38"/>
      <c r="H5" s="38"/>
    </row>
    <row r="6" spans="1:9" s="6" customFormat="1" ht="24" customHeight="1" x14ac:dyDescent="0.3">
      <c r="A6" s="5"/>
      <c r="B6" s="39">
        <f t="array" ref="B6:H6">DaysAndWeeks+DATE(CalendarYear,7,1)-WEEKDAY(DATE(CalendarYear,7,1),(WeekStart="Monday")+1)+8</f>
        <v>44745</v>
      </c>
      <c r="C6" s="39">
        <v>44746</v>
      </c>
      <c r="D6" s="121">
        <v>44747</v>
      </c>
      <c r="E6" s="39">
        <v>44748</v>
      </c>
      <c r="F6" s="39">
        <v>44749</v>
      </c>
      <c r="G6" s="39">
        <v>44750</v>
      </c>
      <c r="H6" s="39">
        <v>44751</v>
      </c>
    </row>
    <row r="7" spans="1:9" s="18" customFormat="1" ht="56.1" customHeight="1" x14ac:dyDescent="0.3">
      <c r="A7" s="17"/>
      <c r="B7" s="37"/>
      <c r="C7" s="37"/>
      <c r="D7" s="97" t="s">
        <v>40</v>
      </c>
      <c r="E7" s="37"/>
      <c r="F7" s="37"/>
      <c r="G7" s="37"/>
      <c r="H7" s="37"/>
    </row>
    <row r="8" spans="1:9" s="6" customFormat="1" ht="24" customHeight="1" x14ac:dyDescent="0.3">
      <c r="A8" s="5"/>
      <c r="B8" s="40">
        <f t="array" ref="B8:H8">DaysAndWeeks+DATE(CalendarYear,7,1)-WEEKDAY(DATE(CalendarYear,7,1),(WeekStart="Monday")+1)+15</f>
        <v>44752</v>
      </c>
      <c r="C8" s="40">
        <v>44753</v>
      </c>
      <c r="D8" s="40">
        <v>44754</v>
      </c>
      <c r="E8" s="40">
        <v>44755</v>
      </c>
      <c r="F8" s="40">
        <v>44756</v>
      </c>
      <c r="G8" s="40">
        <v>44757</v>
      </c>
      <c r="H8" s="40">
        <v>44758</v>
      </c>
    </row>
    <row r="9" spans="1:9" s="18" customFormat="1" ht="56.1" customHeight="1" x14ac:dyDescent="0.3">
      <c r="A9" s="17"/>
      <c r="B9" s="38"/>
      <c r="C9" s="38"/>
      <c r="D9" s="38"/>
      <c r="E9" s="38"/>
      <c r="F9" s="38"/>
      <c r="G9" s="38"/>
      <c r="H9" s="38"/>
    </row>
    <row r="10" spans="1:9" s="6" customFormat="1" ht="24" customHeight="1" x14ac:dyDescent="0.3">
      <c r="A10" s="5"/>
      <c r="B10" s="39">
        <f t="array" ref="B10:H10">DaysAndWeeks+DATE(CalendarYear,7,1)-WEEKDAY(DATE(CalendarYear,7,1),(WeekStart="Monday")+1)+22</f>
        <v>44759</v>
      </c>
      <c r="C10" s="39">
        <v>44760</v>
      </c>
      <c r="D10" s="39">
        <v>44761</v>
      </c>
      <c r="E10" s="39">
        <v>44762</v>
      </c>
      <c r="F10" s="39">
        <v>44763</v>
      </c>
      <c r="G10" s="39">
        <v>44764</v>
      </c>
      <c r="H10" s="98">
        <v>44765</v>
      </c>
    </row>
    <row r="11" spans="1:9" s="18" customFormat="1" ht="56.1" customHeight="1" x14ac:dyDescent="0.3">
      <c r="A11" s="17"/>
      <c r="B11" s="37"/>
      <c r="C11" s="37"/>
      <c r="D11" s="37"/>
      <c r="E11" s="37"/>
      <c r="F11" s="37"/>
      <c r="G11" s="37"/>
      <c r="H11" s="97" t="s">
        <v>38</v>
      </c>
    </row>
    <row r="12" spans="1:9" s="6" customFormat="1" ht="24" customHeight="1" x14ac:dyDescent="0.3">
      <c r="A12" s="5"/>
      <c r="B12" s="40">
        <f t="array" ref="B12:H12">DaysAndWeeks+DATE(CalendarYear,7,1)-WEEKDAY(DATE(CalendarYear,7,1),(WeekStart="Monday")+1)+29</f>
        <v>44766</v>
      </c>
      <c r="C12" s="40">
        <v>44767</v>
      </c>
      <c r="D12" s="40">
        <v>44768</v>
      </c>
      <c r="E12" s="40">
        <v>44769</v>
      </c>
      <c r="F12" s="40">
        <v>44770</v>
      </c>
      <c r="G12" s="40">
        <v>44771</v>
      </c>
      <c r="H12" s="40">
        <v>44772</v>
      </c>
    </row>
    <row r="13" spans="1:9" s="18" customFormat="1" ht="56.1" customHeight="1" x14ac:dyDescent="0.3">
      <c r="A13" s="17"/>
      <c r="B13" s="38"/>
      <c r="C13" s="38"/>
      <c r="D13" s="38"/>
      <c r="E13" s="38"/>
      <c r="F13" s="38"/>
      <c r="G13" s="38"/>
      <c r="H13" s="38"/>
    </row>
    <row r="14" spans="1:9" s="6" customFormat="1" ht="24" customHeight="1" x14ac:dyDescent="0.3">
      <c r="A14" s="5"/>
      <c r="B14" s="121">
        <f t="array" ref="B14:C14">DaysAndWeeks+DATE(CalendarYear,7,1)-WEEKDAY(DATE(CalendarYear,7,1),(WeekStart="Monday")+1)+36</f>
        <v>44773</v>
      </c>
      <c r="C14" s="39">
        <v>44774</v>
      </c>
      <c r="D14" s="171" t="s">
        <v>1</v>
      </c>
      <c r="E14" s="171"/>
      <c r="F14" s="171"/>
      <c r="G14" s="171"/>
      <c r="H14" s="172"/>
    </row>
    <row r="15" spans="1:9" s="18" customFormat="1" ht="56.1" customHeight="1" x14ac:dyDescent="0.3">
      <c r="A15" s="17"/>
      <c r="B15" s="122" t="s">
        <v>39</v>
      </c>
      <c r="C15" s="37"/>
      <c r="D15" s="173"/>
      <c r="E15" s="173"/>
      <c r="F15" s="173"/>
      <c r="G15" s="173"/>
      <c r="H15" s="174"/>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Automatically determined weekday" sqref="C3:H3"/>
    <dataValidation allowBlank="1" showInputMessage="1" showErrorMessage="1" prompt="July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This row contains weekday names for this calendar. This cell contains the starting day of the week. To change week start day, select a new weekday in January worksheet cell L5." sqref="B3"/>
  </dataValidations>
  <printOptions horizontalCentered="1"/>
  <pageMargins left="0.25" right="0.25" top="0.5" bottom="0.5" header="0.3" footer="0.3"/>
  <pageSetup orientation="landscape" r:id="rId1"/>
  <headerFooter differentFirst="1"/>
  <drawing r:id="rId2"/>
  <legacy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topLeftCell="A4" workbookViewId="0">
      <selection activeCell="D15" sqref="D15:H15"/>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0" t="str">
        <f>"August "&amp;CalendarYear</f>
        <v>August 2022</v>
      </c>
      <c r="C2" s="170"/>
      <c r="D2" s="170"/>
      <c r="E2" s="3"/>
      <c r="F2" s="3"/>
      <c r="G2" s="3"/>
      <c r="H2" s="4"/>
    </row>
    <row r="3" spans="1:9" s="13" customFormat="1" ht="24" customHeight="1" x14ac:dyDescent="0.3">
      <c r="A3" s="12"/>
      <c r="B3" s="33" t="str">
        <f>WeekStart</f>
        <v>Sunday</v>
      </c>
      <c r="C3" s="34" t="str">
        <f t="shared" ref="C3:H3" si="0">TEXT(C4,"dddd")</f>
        <v>Monday</v>
      </c>
      <c r="D3" s="34" t="str">
        <f t="shared" si="0"/>
        <v>Tuesday</v>
      </c>
      <c r="E3" s="34" t="str">
        <f t="shared" si="0"/>
        <v>Wednesday</v>
      </c>
      <c r="F3" s="34" t="str">
        <f t="shared" si="0"/>
        <v>Thursday</v>
      </c>
      <c r="G3" s="34" t="str">
        <f t="shared" si="0"/>
        <v>Friday</v>
      </c>
      <c r="H3" s="35" t="str">
        <f t="shared" si="0"/>
        <v>Saturday</v>
      </c>
    </row>
    <row r="4" spans="1:9" s="6" customFormat="1" ht="24" customHeight="1" x14ac:dyDescent="0.3">
      <c r="A4" s="5"/>
      <c r="B4" s="36">
        <f t="array" ref="B4:H4">DaysAndWeeks+DATE(CalendarYear,8,1)-WEEKDAY(DATE(CalendarYear,8,1),(WeekStart="Monday")+1)+1</f>
        <v>44773</v>
      </c>
      <c r="C4" s="124">
        <v>44774</v>
      </c>
      <c r="D4" s="36">
        <v>44775</v>
      </c>
      <c r="E4" s="36">
        <v>44776</v>
      </c>
      <c r="F4" s="36">
        <v>44777</v>
      </c>
      <c r="G4" s="36">
        <v>44778</v>
      </c>
      <c r="H4" s="36">
        <v>44779</v>
      </c>
    </row>
    <row r="5" spans="1:9" s="18" customFormat="1" ht="56.1" customHeight="1" x14ac:dyDescent="0.3">
      <c r="A5" s="17"/>
      <c r="B5" s="38"/>
      <c r="C5" s="119" t="s">
        <v>41</v>
      </c>
      <c r="D5" s="38"/>
      <c r="E5" s="38"/>
      <c r="F5" s="38"/>
      <c r="G5" s="38"/>
      <c r="H5" s="38"/>
    </row>
    <row r="6" spans="1:9" s="6" customFormat="1" ht="24" customHeight="1" x14ac:dyDescent="0.3">
      <c r="A6" s="5"/>
      <c r="B6" s="39">
        <f t="array" ref="B6:H6">DaysAndWeeks+DATE(CalendarYear,8,1)-WEEKDAY(DATE(CalendarYear,8,1),(WeekStart="Monday")+1)+8</f>
        <v>44780</v>
      </c>
      <c r="C6" s="39">
        <v>44781</v>
      </c>
      <c r="D6" s="39">
        <v>44782</v>
      </c>
      <c r="E6" s="96">
        <v>44783</v>
      </c>
      <c r="F6" s="39">
        <v>44784</v>
      </c>
      <c r="G6" s="39">
        <v>44785</v>
      </c>
      <c r="H6" s="39">
        <v>44786</v>
      </c>
    </row>
    <row r="7" spans="1:9" s="18" customFormat="1" ht="56.1" customHeight="1" x14ac:dyDescent="0.3">
      <c r="A7" s="17"/>
      <c r="B7" s="37"/>
      <c r="C7" s="37"/>
      <c r="D7" s="37"/>
      <c r="E7" s="97" t="s">
        <v>42</v>
      </c>
      <c r="F7" s="37"/>
      <c r="G7" s="37"/>
      <c r="H7" s="37"/>
    </row>
    <row r="8" spans="1:9" s="6" customFormat="1" ht="24" customHeight="1" x14ac:dyDescent="0.3">
      <c r="A8" s="5"/>
      <c r="B8" s="40">
        <f t="array" ref="B8:H8">DaysAndWeeks+DATE(CalendarYear,8,1)-WEEKDAY(DATE(CalendarYear,8,1),(WeekStart="Monday")+1)+15</f>
        <v>44787</v>
      </c>
      <c r="C8" s="40">
        <v>44788</v>
      </c>
      <c r="D8" s="40">
        <v>44789</v>
      </c>
      <c r="E8" s="40">
        <v>44790</v>
      </c>
      <c r="F8" s="40">
        <v>44791</v>
      </c>
      <c r="G8" s="126">
        <v>44792</v>
      </c>
      <c r="H8" s="40">
        <v>44793</v>
      </c>
    </row>
    <row r="9" spans="1:9" s="18" customFormat="1" ht="56.1" customHeight="1" x14ac:dyDescent="0.3">
      <c r="A9" s="17"/>
      <c r="B9" s="38"/>
      <c r="C9" s="38"/>
      <c r="D9" s="38"/>
      <c r="E9" s="38"/>
      <c r="F9" s="38"/>
      <c r="G9" s="119" t="s">
        <v>43</v>
      </c>
      <c r="H9" s="38"/>
    </row>
    <row r="10" spans="1:9" s="6" customFormat="1" ht="24" customHeight="1" x14ac:dyDescent="0.3">
      <c r="A10" s="5"/>
      <c r="B10" s="39">
        <f t="array" ref="B10:H10">DaysAndWeeks+DATE(CalendarYear,8,1)-WEEKDAY(DATE(CalendarYear,8,1),(WeekStart="Monday")+1)+22</f>
        <v>44794</v>
      </c>
      <c r="C10" s="96">
        <v>44795</v>
      </c>
      <c r="D10" s="39">
        <v>44796</v>
      </c>
      <c r="E10" s="39">
        <v>44797</v>
      </c>
      <c r="F10" s="127">
        <v>44798</v>
      </c>
      <c r="G10" s="96">
        <v>44799</v>
      </c>
      <c r="H10" s="39">
        <v>44800</v>
      </c>
    </row>
    <row r="11" spans="1:9" s="18" customFormat="1" ht="56.1" customHeight="1" x14ac:dyDescent="0.3">
      <c r="A11" s="17"/>
      <c r="B11" s="37"/>
      <c r="C11" s="97" t="s">
        <v>28</v>
      </c>
      <c r="D11" s="37"/>
      <c r="E11" s="37"/>
      <c r="F11" s="97" t="s">
        <v>43</v>
      </c>
      <c r="G11" s="97" t="s">
        <v>29</v>
      </c>
      <c r="H11" s="37"/>
    </row>
    <row r="12" spans="1:9" s="6" customFormat="1" ht="24" customHeight="1" x14ac:dyDescent="0.3">
      <c r="A12" s="5"/>
      <c r="B12" s="40">
        <f t="array" ref="B12:H12">DaysAndWeeks+DATE(CalendarYear,8,1)-WEEKDAY(DATE(CalendarYear,8,1),(WeekStart="Monday")+1)+29</f>
        <v>44801</v>
      </c>
      <c r="C12" s="117">
        <v>44802</v>
      </c>
      <c r="D12" s="117">
        <v>44803</v>
      </c>
      <c r="E12" s="40">
        <v>44804</v>
      </c>
      <c r="F12" s="40">
        <v>44805</v>
      </c>
      <c r="G12" s="40">
        <v>44806</v>
      </c>
      <c r="H12" s="40">
        <v>44807</v>
      </c>
    </row>
    <row r="13" spans="1:9" s="18" customFormat="1" ht="56.1" customHeight="1" x14ac:dyDescent="0.3">
      <c r="A13" s="17"/>
      <c r="B13" s="38"/>
      <c r="C13" s="119" t="s">
        <v>44</v>
      </c>
      <c r="D13" s="119" t="s">
        <v>45</v>
      </c>
      <c r="E13" s="38"/>
      <c r="F13" s="38"/>
      <c r="G13" s="38"/>
      <c r="H13" s="38"/>
    </row>
    <row r="14" spans="1:9" s="6" customFormat="1" ht="24" customHeight="1" x14ac:dyDescent="0.3">
      <c r="A14" s="5"/>
      <c r="B14" s="39">
        <f t="array" ref="B14:C14">DaysAndWeeks+DATE(CalendarYear,8,1)-WEEKDAY(DATE(CalendarYear,8,1),(WeekStart="Monday")+1)+36</f>
        <v>44808</v>
      </c>
      <c r="C14" s="39">
        <v>44809</v>
      </c>
      <c r="D14" s="171" t="s">
        <v>1</v>
      </c>
      <c r="E14" s="171"/>
      <c r="F14" s="171"/>
      <c r="G14" s="171"/>
      <c r="H14" s="172"/>
    </row>
    <row r="15" spans="1:9" s="18" customFormat="1" ht="56.1" customHeight="1" x14ac:dyDescent="0.3">
      <c r="A15" s="17"/>
      <c r="B15" s="37"/>
      <c r="C15" s="37"/>
      <c r="D15" s="173"/>
      <c r="E15" s="173"/>
      <c r="F15" s="173"/>
      <c r="G15" s="173"/>
      <c r="H15" s="174"/>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Automatically determined weekday" sqref="C3:H3"/>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August month calendar" sqref="A1"/>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legacy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D13" sqref="D13"/>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5" t="str">
        <f>"September "&amp;CalendarYear</f>
        <v>September 2022</v>
      </c>
      <c r="C2" s="175"/>
      <c r="D2" s="175"/>
      <c r="E2" s="3"/>
      <c r="F2" s="3"/>
      <c r="G2" s="3"/>
      <c r="H2" s="4"/>
    </row>
    <row r="3" spans="1:9" s="13" customFormat="1" ht="24" customHeight="1" x14ac:dyDescent="0.3">
      <c r="A3" s="12"/>
      <c r="B3" s="22" t="str">
        <f>WeekStart</f>
        <v>Sunday</v>
      </c>
      <c r="C3" s="23" t="str">
        <f t="shared" ref="C3:H3" si="0">TEXT(C4,"dddd")</f>
        <v>Monday</v>
      </c>
      <c r="D3" s="23" t="str">
        <f t="shared" si="0"/>
        <v>Tuesday</v>
      </c>
      <c r="E3" s="23" t="str">
        <f t="shared" si="0"/>
        <v>Wednesday</v>
      </c>
      <c r="F3" s="23" t="str">
        <f t="shared" si="0"/>
        <v>Thursday</v>
      </c>
      <c r="G3" s="23" t="str">
        <f t="shared" si="0"/>
        <v>Friday</v>
      </c>
      <c r="H3" s="24" t="str">
        <f t="shared" si="0"/>
        <v>Saturday</v>
      </c>
    </row>
    <row r="4" spans="1:9" s="6" customFormat="1" ht="24" customHeight="1" x14ac:dyDescent="0.3">
      <c r="A4" s="5"/>
      <c r="B4" s="41">
        <f t="array" ref="B4:H4">DaysAndWeeks+DATE(CalendarYear,9,1)-WEEKDAY(DATE(CalendarYear,9,1),(WeekStart="Monday")+1)+1</f>
        <v>44801</v>
      </c>
      <c r="C4" s="41">
        <v>44802</v>
      </c>
      <c r="D4" s="41">
        <v>44803</v>
      </c>
      <c r="E4" s="41">
        <v>44804</v>
      </c>
      <c r="F4" s="108">
        <v>44805</v>
      </c>
      <c r="G4" s="41">
        <v>44806</v>
      </c>
      <c r="H4" s="41">
        <v>44807</v>
      </c>
    </row>
    <row r="5" spans="1:9" s="18" customFormat="1" ht="56.1" customHeight="1" x14ac:dyDescent="0.3">
      <c r="A5" s="17"/>
      <c r="B5" s="43"/>
      <c r="C5" s="43"/>
      <c r="D5" s="43"/>
      <c r="E5" s="43"/>
      <c r="F5" s="101" t="s">
        <v>46</v>
      </c>
      <c r="G5" s="43"/>
      <c r="H5" s="43"/>
    </row>
    <row r="6" spans="1:9" s="6" customFormat="1" ht="24" customHeight="1" x14ac:dyDescent="0.3">
      <c r="A6" s="5"/>
      <c r="B6" s="44">
        <f t="array" ref="B6:H6">DaysAndWeeks+DATE(CalendarYear,9,1)-WEEKDAY(DATE(CalendarYear,9,1),(WeekStart="Monday")+1)+8</f>
        <v>44808</v>
      </c>
      <c r="C6" s="44">
        <v>44809</v>
      </c>
      <c r="D6" s="44">
        <v>44810</v>
      </c>
      <c r="E6" s="44">
        <v>44811</v>
      </c>
      <c r="F6" s="44">
        <v>44812</v>
      </c>
      <c r="G6" s="104">
        <v>44813</v>
      </c>
      <c r="H6" s="44">
        <v>44814</v>
      </c>
    </row>
    <row r="7" spans="1:9" s="18" customFormat="1" ht="56.1" customHeight="1" x14ac:dyDescent="0.3">
      <c r="A7" s="17"/>
      <c r="B7" s="42"/>
      <c r="C7" s="42"/>
      <c r="D7" s="42"/>
      <c r="E7" s="42"/>
      <c r="F7" s="42"/>
      <c r="G7" s="130" t="s">
        <v>47</v>
      </c>
      <c r="H7" s="42"/>
    </row>
    <row r="8" spans="1:9" s="6" customFormat="1" ht="24" customHeight="1" x14ac:dyDescent="0.3">
      <c r="A8" s="5"/>
      <c r="B8" s="45">
        <f t="array" ref="B8:H8">DaysAndWeeks+DATE(CalendarYear,9,1)-WEEKDAY(DATE(CalendarYear,9,1),(WeekStart="Monday")+1)+15</f>
        <v>44815</v>
      </c>
      <c r="C8" s="110">
        <v>44816</v>
      </c>
      <c r="D8" s="45">
        <v>44817</v>
      </c>
      <c r="E8" s="45">
        <v>44818</v>
      </c>
      <c r="F8" s="45">
        <v>44819</v>
      </c>
      <c r="G8" s="45">
        <v>44820</v>
      </c>
      <c r="H8" s="45">
        <v>44821</v>
      </c>
    </row>
    <row r="9" spans="1:9" s="18" customFormat="1" ht="56.1" customHeight="1" x14ac:dyDescent="0.3">
      <c r="A9" s="17"/>
      <c r="B9" s="43"/>
      <c r="C9" s="101" t="s">
        <v>48</v>
      </c>
      <c r="D9" s="43"/>
      <c r="E9" s="43"/>
      <c r="F9" s="43"/>
      <c r="G9" s="43"/>
      <c r="H9" s="43"/>
    </row>
    <row r="10" spans="1:9" s="6" customFormat="1" ht="24" customHeight="1" x14ac:dyDescent="0.3">
      <c r="A10" s="5"/>
      <c r="B10" s="44">
        <f t="array" ref="B10:H10">DaysAndWeeks+DATE(CalendarYear,9,1)-WEEKDAY(DATE(CalendarYear,9,1),(WeekStart="Monday")+1)+22</f>
        <v>44822</v>
      </c>
      <c r="C10" s="107">
        <v>44823</v>
      </c>
      <c r="D10" s="44">
        <v>44824</v>
      </c>
      <c r="E10" s="133">
        <v>44825</v>
      </c>
      <c r="F10" s="44">
        <v>44826</v>
      </c>
      <c r="G10" s="44">
        <v>44827</v>
      </c>
      <c r="H10" s="134">
        <v>44828</v>
      </c>
    </row>
    <row r="11" spans="1:9" s="18" customFormat="1" ht="56.1" customHeight="1" x14ac:dyDescent="0.3">
      <c r="A11" s="17"/>
      <c r="B11" s="42"/>
      <c r="C11" s="130" t="s">
        <v>49</v>
      </c>
      <c r="D11" s="42"/>
      <c r="E11" s="130" t="s">
        <v>50</v>
      </c>
      <c r="F11" s="42"/>
      <c r="G11" s="42"/>
      <c r="H11" s="130" t="s">
        <v>51</v>
      </c>
    </row>
    <row r="12" spans="1:9" s="6" customFormat="1" ht="24" customHeight="1" x14ac:dyDescent="0.3">
      <c r="A12" s="5"/>
      <c r="B12" s="45">
        <f t="array" ref="B12:H12">DaysAndWeeks+DATE(CalendarYear,9,1)-WEEKDAY(DATE(CalendarYear,9,1),(WeekStart="Monday")+1)+29</f>
        <v>44829</v>
      </c>
      <c r="C12" s="110">
        <v>44830</v>
      </c>
      <c r="D12" s="45">
        <v>44831</v>
      </c>
      <c r="E12" s="45">
        <v>44832</v>
      </c>
      <c r="F12" s="45">
        <v>44833</v>
      </c>
      <c r="G12" s="45">
        <v>44834</v>
      </c>
      <c r="H12" s="45">
        <v>44835</v>
      </c>
    </row>
    <row r="13" spans="1:9" s="18" customFormat="1" ht="56.1" customHeight="1" x14ac:dyDescent="0.3">
      <c r="A13" s="17"/>
      <c r="B13" s="43"/>
      <c r="C13" s="101" t="s">
        <v>52</v>
      </c>
      <c r="D13" s="43"/>
      <c r="E13" s="43"/>
      <c r="F13" s="43"/>
      <c r="G13" s="43"/>
      <c r="H13" s="43"/>
    </row>
    <row r="14" spans="1:9" s="6" customFormat="1" ht="24" customHeight="1" x14ac:dyDescent="0.3">
      <c r="A14" s="5"/>
      <c r="B14" s="44">
        <f t="array" ref="B14:C14">DaysAndWeeks+DATE(CalendarYear,9,1)-WEEKDAY(DATE(CalendarYear,9,1),(WeekStart="Monday")+1)+36</f>
        <v>44836</v>
      </c>
      <c r="C14" s="44">
        <v>44837</v>
      </c>
      <c r="D14" s="176" t="s">
        <v>1</v>
      </c>
      <c r="E14" s="176"/>
      <c r="F14" s="176"/>
      <c r="G14" s="176"/>
      <c r="H14" s="177"/>
    </row>
    <row r="15" spans="1:9" s="18" customFormat="1" ht="56.1" customHeight="1" x14ac:dyDescent="0.3">
      <c r="A15" s="17"/>
      <c r="B15" s="42"/>
      <c r="C15" s="42"/>
      <c r="D15" s="178"/>
      <c r="E15" s="178"/>
      <c r="F15" s="178"/>
      <c r="G15" s="178"/>
      <c r="H15" s="179"/>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Automatically determined weekday" sqref="C3:H3"/>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September month calendar" sqref="A1"/>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This row contains weekday names for this calendar. This cell contains the starting day of the week. To change week start day, select a new weekday in January worksheet cell L5." sqref="B3"/>
  </dataValidations>
  <printOptions horizontalCentered="1"/>
  <pageMargins left="0.25" right="0.25" top="0.5" bottom="0.5" header="0.3" footer="0.3"/>
  <pageSetup orientation="landscape" r:id="rId1"/>
  <headerFooter differentFirst="1"/>
  <drawing r:id="rId2"/>
  <legacyDrawing r:id="rId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topLeftCell="A4" zoomScaleNormal="100" workbookViewId="0">
      <selection activeCell="E19" sqref="E19"/>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5" t="str">
        <f>"October "&amp;CalendarYear</f>
        <v>October 2022</v>
      </c>
      <c r="C2" s="175"/>
      <c r="D2" s="175"/>
      <c r="E2" s="3"/>
      <c r="F2" s="3"/>
      <c r="G2" s="3"/>
      <c r="H2" s="4"/>
    </row>
    <row r="3" spans="1:9" s="13" customFormat="1" ht="24" customHeight="1" x14ac:dyDescent="0.3">
      <c r="A3" s="12"/>
      <c r="B3" s="22" t="str">
        <f>WeekStart</f>
        <v>Sunday</v>
      </c>
      <c r="C3" s="23" t="str">
        <f t="shared" ref="C3:H3" si="0">TEXT(C4,"dddd")</f>
        <v>Monday</v>
      </c>
      <c r="D3" s="23" t="str">
        <f t="shared" si="0"/>
        <v>Tuesday</v>
      </c>
      <c r="E3" s="23" t="str">
        <f t="shared" si="0"/>
        <v>Wednesday</v>
      </c>
      <c r="F3" s="23" t="str">
        <f t="shared" si="0"/>
        <v>Thursday</v>
      </c>
      <c r="G3" s="23" t="str">
        <f t="shared" si="0"/>
        <v>Friday</v>
      </c>
      <c r="H3" s="24" t="str">
        <f t="shared" si="0"/>
        <v>Saturday</v>
      </c>
    </row>
    <row r="4" spans="1:9" s="6" customFormat="1" ht="24" customHeight="1" x14ac:dyDescent="0.3">
      <c r="A4" s="5"/>
      <c r="B4" s="41">
        <f t="array" ref="B4:H4">DaysAndWeeks+DATE(CalendarYear,10,1)-WEEKDAY(DATE(CalendarYear,10,1),(WeekStart="Monday")+1)+1</f>
        <v>44829</v>
      </c>
      <c r="C4" s="41">
        <v>44830</v>
      </c>
      <c r="D4" s="41">
        <v>44831</v>
      </c>
      <c r="E4" s="41">
        <v>44832</v>
      </c>
      <c r="F4" s="41">
        <v>44833</v>
      </c>
      <c r="G4" s="41">
        <v>44834</v>
      </c>
      <c r="H4" s="41">
        <v>44835</v>
      </c>
    </row>
    <row r="5" spans="1:9" s="18" customFormat="1" ht="56.1" customHeight="1" x14ac:dyDescent="0.3">
      <c r="A5" s="17"/>
      <c r="B5" s="43"/>
      <c r="C5" s="43"/>
      <c r="D5" s="43"/>
      <c r="E5" s="43"/>
      <c r="F5" s="43"/>
      <c r="G5" s="43"/>
      <c r="H5" s="43"/>
    </row>
    <row r="6" spans="1:9" s="6" customFormat="1" ht="24" customHeight="1" x14ac:dyDescent="0.3">
      <c r="A6" s="5"/>
      <c r="B6" s="44">
        <f t="array" ref="B6:H6">DaysAndWeeks+DATE(CalendarYear,10,1)-WEEKDAY(DATE(CalendarYear,10,1),(WeekStart="Monday")+1)+8</f>
        <v>44836</v>
      </c>
      <c r="C6" s="107">
        <v>44837</v>
      </c>
      <c r="D6" s="44">
        <v>44838</v>
      </c>
      <c r="E6" s="44">
        <v>44839</v>
      </c>
      <c r="F6" s="44">
        <v>44840</v>
      </c>
      <c r="G6" s="137">
        <v>44841</v>
      </c>
      <c r="H6" s="44">
        <v>44842</v>
      </c>
    </row>
    <row r="7" spans="1:9" s="18" customFormat="1" ht="56.1" customHeight="1" x14ac:dyDescent="0.3">
      <c r="A7" s="17"/>
      <c r="B7" s="42"/>
      <c r="C7" s="130" t="s">
        <v>53</v>
      </c>
      <c r="D7" s="42"/>
      <c r="E7" s="42"/>
      <c r="F7" s="42"/>
      <c r="G7" s="130" t="s">
        <v>57</v>
      </c>
      <c r="H7" s="42"/>
    </row>
    <row r="8" spans="1:9" s="6" customFormat="1" ht="24" customHeight="1" x14ac:dyDescent="0.3">
      <c r="A8" s="5"/>
      <c r="B8" s="138">
        <f t="array" ref="B8:H8">DaysAndWeeks+DATE(CalendarYear,10,1)-WEEKDAY(DATE(CalendarYear,10,1),(WeekStart="Monday")+1)+15</f>
        <v>44843</v>
      </c>
      <c r="C8" s="139">
        <v>44844</v>
      </c>
      <c r="D8" s="110">
        <v>44845</v>
      </c>
      <c r="E8" s="110">
        <v>44846</v>
      </c>
      <c r="F8" s="45">
        <v>44847</v>
      </c>
      <c r="G8" s="110">
        <v>44848</v>
      </c>
      <c r="H8" s="45">
        <v>44849</v>
      </c>
    </row>
    <row r="9" spans="1:9" s="18" customFormat="1" ht="56.1" customHeight="1" x14ac:dyDescent="0.3">
      <c r="A9" s="17"/>
      <c r="B9" s="101" t="s">
        <v>55</v>
      </c>
      <c r="C9" s="101" t="s">
        <v>54</v>
      </c>
      <c r="D9" s="101" t="s">
        <v>30</v>
      </c>
      <c r="E9" s="101" t="s">
        <v>56</v>
      </c>
      <c r="F9" s="43"/>
      <c r="G9" s="101" t="s">
        <v>58</v>
      </c>
      <c r="H9" s="43"/>
    </row>
    <row r="10" spans="1:9" s="6" customFormat="1" ht="24" customHeight="1" x14ac:dyDescent="0.3">
      <c r="A10" s="5"/>
      <c r="B10" s="44">
        <f t="array" ref="B10:H10">DaysAndWeeks+DATE(CalendarYear,10,1)-WEEKDAY(DATE(CalendarYear,10,1),(WeekStart="Monday")+1)+22</f>
        <v>44850</v>
      </c>
      <c r="C10" s="107">
        <v>44851</v>
      </c>
      <c r="D10" s="107">
        <v>44852</v>
      </c>
      <c r="E10" s="107">
        <v>44853</v>
      </c>
      <c r="F10" s="134">
        <v>44854</v>
      </c>
      <c r="G10" s="143">
        <v>44855</v>
      </c>
      <c r="H10" s="44">
        <v>44856</v>
      </c>
    </row>
    <row r="11" spans="1:9" s="18" customFormat="1" ht="56.1" customHeight="1" x14ac:dyDescent="0.3">
      <c r="A11" s="17"/>
      <c r="B11" s="42"/>
      <c r="C11" s="130" t="s">
        <v>59</v>
      </c>
      <c r="D11" s="130" t="s">
        <v>60</v>
      </c>
      <c r="E11" s="130" t="s">
        <v>61</v>
      </c>
      <c r="F11" s="130" t="s">
        <v>62</v>
      </c>
      <c r="G11" s="130" t="s">
        <v>63</v>
      </c>
      <c r="H11" s="42"/>
    </row>
    <row r="12" spans="1:9" s="6" customFormat="1" ht="24" customHeight="1" x14ac:dyDescent="0.3">
      <c r="A12" s="5"/>
      <c r="B12" s="45">
        <f t="array" ref="B12:H12">DaysAndWeeks+DATE(CalendarYear,10,1)-WEEKDAY(DATE(CalendarYear,10,1),(WeekStart="Monday")+1)+29</f>
        <v>44857</v>
      </c>
      <c r="C12" s="109">
        <v>44858</v>
      </c>
      <c r="D12" s="110">
        <v>44859</v>
      </c>
      <c r="E12" s="110">
        <v>44860</v>
      </c>
      <c r="F12" s="110">
        <v>44861</v>
      </c>
      <c r="G12" s="110">
        <v>44862</v>
      </c>
      <c r="H12" s="102">
        <v>44863</v>
      </c>
    </row>
    <row r="13" spans="1:9" s="18" customFormat="1" ht="56.1" customHeight="1" x14ac:dyDescent="0.3">
      <c r="A13" s="17"/>
      <c r="B13" s="43"/>
      <c r="C13" s="111" t="s">
        <v>33</v>
      </c>
      <c r="D13" s="111" t="s">
        <v>65</v>
      </c>
      <c r="E13" s="111" t="s">
        <v>64</v>
      </c>
      <c r="F13" s="145" t="s">
        <v>66</v>
      </c>
      <c r="G13" s="111" t="s">
        <v>34</v>
      </c>
      <c r="H13" s="111" t="s">
        <v>67</v>
      </c>
    </row>
    <row r="14" spans="1:9" s="6" customFormat="1" ht="24" customHeight="1" x14ac:dyDescent="0.3">
      <c r="A14" s="5"/>
      <c r="B14" s="104">
        <f t="array" ref="B14:C14">DaysAndWeeks+DATE(CalendarYear,10,1)-WEEKDAY(DATE(CalendarYear,10,1),(WeekStart="Monday")+1)+36</f>
        <v>44864</v>
      </c>
      <c r="C14" s="104">
        <v>44865</v>
      </c>
      <c r="D14" s="176" t="s">
        <v>1</v>
      </c>
      <c r="E14" s="176"/>
      <c r="F14" s="176"/>
      <c r="G14" s="176"/>
      <c r="H14" s="177"/>
    </row>
    <row r="15" spans="1:9" s="18" customFormat="1" ht="56.1" customHeight="1" x14ac:dyDescent="0.3">
      <c r="A15" s="17"/>
      <c r="B15" s="146" t="s">
        <v>67</v>
      </c>
      <c r="C15" s="146" t="s">
        <v>67</v>
      </c>
      <c r="D15" s="178"/>
      <c r="E15" s="178"/>
      <c r="F15" s="178"/>
      <c r="G15" s="178"/>
      <c r="H15" s="179"/>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Automatically determined weekday" sqref="C3:H3"/>
    <dataValidation allowBlank="1" showInputMessage="1" showErrorMessage="1" prompt="October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legacy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00B050"/>
    <pageSetUpPr fitToPage="1"/>
  </sheetPr>
  <dimension ref="A1:I15"/>
  <sheetViews>
    <sheetView showGridLines="0" showRowColHeaders="0" zoomScaleNormal="100" workbookViewId="0">
      <selection activeCell="H11" sqref="H11"/>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75" t="str">
        <f>"November "&amp;CalendarYear</f>
        <v>November 2022</v>
      </c>
      <c r="C2" s="175"/>
      <c r="D2" s="175"/>
      <c r="E2" s="3"/>
      <c r="F2" s="3"/>
      <c r="G2" s="3"/>
      <c r="H2" s="4"/>
    </row>
    <row r="3" spans="1:9" s="13" customFormat="1" ht="24" customHeight="1" x14ac:dyDescent="0.3">
      <c r="A3" s="12"/>
      <c r="B3" s="22" t="str">
        <f>WeekStart</f>
        <v>Sunday</v>
      </c>
      <c r="C3" s="23" t="str">
        <f t="shared" ref="C3:H3" si="0">TEXT(C4,"dddd")</f>
        <v>Monday</v>
      </c>
      <c r="D3" s="23" t="str">
        <f t="shared" si="0"/>
        <v>Tuesday</v>
      </c>
      <c r="E3" s="23" t="str">
        <f t="shared" si="0"/>
        <v>Wednesday</v>
      </c>
      <c r="F3" s="23" t="str">
        <f t="shared" si="0"/>
        <v>Thursday</v>
      </c>
      <c r="G3" s="23" t="str">
        <f t="shared" si="0"/>
        <v>Friday</v>
      </c>
      <c r="H3" s="24" t="str">
        <f t="shared" si="0"/>
        <v>Saturday</v>
      </c>
    </row>
    <row r="4" spans="1:9" s="6" customFormat="1" ht="24" customHeight="1" x14ac:dyDescent="0.3">
      <c r="A4" s="5"/>
      <c r="B4" s="41">
        <f t="array" ref="B4:H4">DaysAndWeeks+DATE(CalendarYear,11,1)-WEEKDAY(DATE(CalendarYear,11,1),(WeekStart="Monday")+1)+1</f>
        <v>44864</v>
      </c>
      <c r="C4" s="41">
        <v>44865</v>
      </c>
      <c r="D4" s="105">
        <v>44866</v>
      </c>
      <c r="E4" s="108">
        <v>44867</v>
      </c>
      <c r="F4" s="108">
        <v>44868</v>
      </c>
      <c r="G4" s="108">
        <v>44869</v>
      </c>
      <c r="H4" s="41">
        <v>44870</v>
      </c>
    </row>
    <row r="5" spans="1:9" s="18" customFormat="1" ht="56.1" customHeight="1" x14ac:dyDescent="0.3">
      <c r="A5" s="17"/>
      <c r="B5" s="43"/>
      <c r="C5" s="43"/>
      <c r="D5" s="103"/>
      <c r="E5" s="145" t="s">
        <v>69</v>
      </c>
      <c r="F5" s="145" t="s">
        <v>68</v>
      </c>
      <c r="G5" s="111" t="s">
        <v>31</v>
      </c>
      <c r="H5" s="43"/>
    </row>
    <row r="6" spans="1:9" s="6" customFormat="1" ht="24" customHeight="1" x14ac:dyDescent="0.3">
      <c r="A6" s="5"/>
      <c r="B6" s="107">
        <f t="array" ref="B6:H6">DaysAndWeeks+DATE(CalendarYear,11,1)-WEEKDAY(DATE(CalendarYear,11,1),(WeekStart="Monday")+1)+8</f>
        <v>44871</v>
      </c>
      <c r="C6" s="107">
        <v>44872</v>
      </c>
      <c r="D6" s="107">
        <v>44873</v>
      </c>
      <c r="E6" s="107">
        <v>44874</v>
      </c>
      <c r="F6" s="44">
        <v>44875</v>
      </c>
      <c r="G6" s="149">
        <v>44876</v>
      </c>
      <c r="H6" s="44">
        <v>44877</v>
      </c>
    </row>
    <row r="7" spans="1:9" s="18" customFormat="1" ht="56.1" customHeight="1" x14ac:dyDescent="0.3">
      <c r="A7" s="17"/>
      <c r="B7" s="130" t="s">
        <v>70</v>
      </c>
      <c r="C7" s="147" t="s">
        <v>71</v>
      </c>
      <c r="D7" s="106" t="s">
        <v>32</v>
      </c>
      <c r="E7" s="130" t="s">
        <v>72</v>
      </c>
      <c r="F7" s="42"/>
      <c r="G7" s="130" t="s">
        <v>73</v>
      </c>
      <c r="H7" s="42"/>
    </row>
    <row r="8" spans="1:9" s="6" customFormat="1" ht="24" customHeight="1" x14ac:dyDescent="0.3">
      <c r="A8" s="5"/>
      <c r="B8" s="45">
        <f t="array" ref="B8:H8">DaysAndWeeks+DATE(CalendarYear,11,1)-WEEKDAY(DATE(CalendarYear,11,1),(WeekStart="Monday")+1)+15</f>
        <v>44878</v>
      </c>
      <c r="C8" s="150">
        <v>44879</v>
      </c>
      <c r="D8" s="45">
        <v>44880</v>
      </c>
      <c r="E8" s="45">
        <v>44881</v>
      </c>
      <c r="F8" s="45">
        <v>44882</v>
      </c>
      <c r="G8" s="110">
        <v>44883</v>
      </c>
      <c r="H8" s="110">
        <v>44884</v>
      </c>
    </row>
    <row r="9" spans="1:9" s="18" customFormat="1" ht="56.1" customHeight="1" x14ac:dyDescent="0.3">
      <c r="A9" s="17"/>
      <c r="B9" s="43"/>
      <c r="C9" s="151" t="s">
        <v>74</v>
      </c>
      <c r="D9" s="43"/>
      <c r="E9" s="43"/>
      <c r="F9" s="43"/>
      <c r="G9" s="101" t="s">
        <v>75</v>
      </c>
      <c r="H9" s="101" t="s">
        <v>76</v>
      </c>
    </row>
    <row r="10" spans="1:9" s="6" customFormat="1" ht="24" customHeight="1" x14ac:dyDescent="0.3">
      <c r="A10" s="5"/>
      <c r="B10" s="44">
        <f t="array" ref="B10:H10">DaysAndWeeks+DATE(CalendarYear,11,1)-WEEKDAY(DATE(CalendarYear,11,1),(WeekStart="Monday")+1)+22</f>
        <v>44885</v>
      </c>
      <c r="C10" s="107">
        <v>44886</v>
      </c>
      <c r="D10" s="107">
        <v>44887</v>
      </c>
      <c r="E10" s="107">
        <v>44888</v>
      </c>
      <c r="F10" s="44">
        <v>44889</v>
      </c>
      <c r="G10" s="44">
        <v>44890</v>
      </c>
      <c r="H10" s="149">
        <v>44891</v>
      </c>
    </row>
    <row r="11" spans="1:9" s="18" customFormat="1" ht="56.1" customHeight="1" x14ac:dyDescent="0.3">
      <c r="A11" s="17"/>
      <c r="B11" s="42"/>
      <c r="C11" s="130" t="s">
        <v>77</v>
      </c>
      <c r="D11" s="130" t="s">
        <v>78</v>
      </c>
      <c r="E11" s="130" t="s">
        <v>79</v>
      </c>
      <c r="F11" s="42"/>
      <c r="G11" s="42"/>
      <c r="H11" s="130" t="s">
        <v>80</v>
      </c>
    </row>
    <row r="12" spans="1:9" s="6" customFormat="1" ht="24" customHeight="1" x14ac:dyDescent="0.3">
      <c r="A12" s="5"/>
      <c r="B12" s="45">
        <f t="array" ref="B12:H12">DaysAndWeeks+DATE(CalendarYear,11,1)-WEEKDAY(DATE(CalendarYear,11,1),(WeekStart="Monday")+1)+29</f>
        <v>44892</v>
      </c>
      <c r="C12" s="45">
        <v>44893</v>
      </c>
      <c r="D12" s="110">
        <v>44894</v>
      </c>
      <c r="E12" s="45">
        <v>44895</v>
      </c>
      <c r="F12" s="45">
        <v>44896</v>
      </c>
      <c r="G12" s="45">
        <v>44897</v>
      </c>
      <c r="H12" s="45">
        <v>44898</v>
      </c>
    </row>
    <row r="13" spans="1:9" s="18" customFormat="1" ht="56.1" customHeight="1" x14ac:dyDescent="0.3">
      <c r="A13" s="17"/>
      <c r="B13" s="43"/>
      <c r="C13" s="43"/>
      <c r="D13" s="101" t="s">
        <v>81</v>
      </c>
      <c r="E13" s="43"/>
      <c r="F13" s="43"/>
      <c r="G13" s="43"/>
      <c r="H13" s="43"/>
    </row>
    <row r="14" spans="1:9" s="6" customFormat="1" ht="24" customHeight="1" x14ac:dyDescent="0.3">
      <c r="A14" s="5"/>
      <c r="B14" s="44">
        <f t="array" ref="B14:C14">DaysAndWeeks+DATE(CalendarYear,11,1)-WEEKDAY(DATE(CalendarYear,11,1),(WeekStart="Monday")+1)+36</f>
        <v>44899</v>
      </c>
      <c r="C14" s="44">
        <v>44900</v>
      </c>
      <c r="D14" s="176" t="s">
        <v>1</v>
      </c>
      <c r="E14" s="176"/>
      <c r="F14" s="176"/>
      <c r="G14" s="176"/>
      <c r="H14" s="177"/>
    </row>
    <row r="15" spans="1:9" s="18" customFormat="1" ht="56.1" customHeight="1" x14ac:dyDescent="0.3">
      <c r="A15" s="17"/>
      <c r="B15" s="42"/>
      <c r="C15" s="42"/>
      <c r="D15" s="178"/>
      <c r="E15" s="178"/>
      <c r="F15" s="178"/>
      <c r="G15" s="178"/>
      <c r="H15" s="179"/>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Automatically determined weekday" sqref="C3:H3"/>
    <dataValidation allowBlank="1" showInputMessage="1" showErrorMessage="1" prompt="November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amp; rows 6, 8, 10, 12 &amp; 14 contain calendar days of the week. If this cell doesn’t contain the number 1, then it is a day from the previous month. Enter notes in cell D15." sqref="B4"/>
    <dataValidation allowBlank="1" showInputMessage="1" showErrorMessage="1" prompt="This row &amp; rows 7, 9, 11, 13, &amp; 15 are cells for entering daily notes related to the calendar day in the cell above." sqref="B5"/>
    <dataValidation allowBlank="1" showInputMessage="1" prompt="Enter monthly Notes in this cell" sqref="D15:H15"/>
    <dataValidation allowBlank="1" showInputMessage="1" prompt="Enter monthly Notes in cell below" sqref="D14:H14"/>
    <dataValidation allowBlank="1" showInputMessage="1" showErrorMessage="1" prompt="This row contains weekday names for this calendar. This cell contains the starting day of the week. To change week start day, select a new weekday in January worksheet cell L5." sqref="B3"/>
  </dataValidations>
  <printOptions horizontalCentered="1"/>
  <pageMargins left="0.25" right="0.25" top="0.5" bottom="0.5" header="0.3" footer="0.3"/>
  <pageSetup orientation="landscape" r:id="rId1"/>
  <headerFooter differentFirst="1"/>
  <drawing r:id="rId2"/>
  <legacy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theme="8" tint="0.59999389629810485"/>
    <pageSetUpPr fitToPage="1"/>
  </sheetPr>
  <dimension ref="A1:I15"/>
  <sheetViews>
    <sheetView showGridLines="0" showRowColHeaders="0" workbookViewId="0">
      <selection activeCell="E22" sqref="E22"/>
    </sheetView>
  </sheetViews>
  <sheetFormatPr defaultColWidth="8.75" defaultRowHeight="16.5" x14ac:dyDescent="0.3"/>
  <cols>
    <col min="1" max="1" width="1.625" style="1" customWidth="1"/>
    <col min="2" max="8" width="16.625" style="1" customWidth="1"/>
    <col min="9" max="9" width="1.625" style="2" customWidth="1"/>
    <col min="10" max="10" width="8.625" style="2" customWidth="1"/>
    <col min="11" max="16384" width="8.75" style="2"/>
  </cols>
  <sheetData>
    <row r="1" spans="1:9" ht="9" customHeight="1" x14ac:dyDescent="0.3">
      <c r="I1" s="2" t="s">
        <v>2</v>
      </c>
    </row>
    <row r="2" spans="1:9" ht="96" customHeight="1" x14ac:dyDescent="0.3">
      <c r="B2" s="159" t="str">
        <f>"December "&amp;CalendarYear</f>
        <v>December 2022</v>
      </c>
      <c r="C2" s="159"/>
      <c r="D2" s="159"/>
      <c r="E2" s="3"/>
      <c r="F2" s="3"/>
      <c r="G2" s="3"/>
      <c r="H2" s="4"/>
    </row>
    <row r="3" spans="1:9" s="13" customFormat="1" ht="24" customHeight="1" x14ac:dyDescent="0.3">
      <c r="A3" s="12"/>
      <c r="B3" s="9" t="str">
        <f>WeekStart</f>
        <v>Sunday</v>
      </c>
      <c r="C3" s="10" t="str">
        <f t="shared" ref="C3:H3" si="0">TEXT(C4,"dddd")</f>
        <v>Monday</v>
      </c>
      <c r="D3" s="10" t="str">
        <f t="shared" si="0"/>
        <v>Tuesday</v>
      </c>
      <c r="E3" s="10" t="str">
        <f t="shared" si="0"/>
        <v>Wednesday</v>
      </c>
      <c r="F3" s="10" t="str">
        <f t="shared" si="0"/>
        <v>Thursday</v>
      </c>
      <c r="G3" s="10" t="str">
        <f t="shared" si="0"/>
        <v>Friday</v>
      </c>
      <c r="H3" s="11" t="str">
        <f t="shared" si="0"/>
        <v>Saturday</v>
      </c>
    </row>
    <row r="4" spans="1:9" s="6" customFormat="1" ht="24" customHeight="1" x14ac:dyDescent="0.3">
      <c r="A4" s="5"/>
      <c r="B4" s="14">
        <f t="array" ref="B4:H4">DaysAndWeeks+DATE(CalendarYear,12,1)-WEEKDAY(DATE(CalendarYear,12,1),(WeekStart="Monday")+1)+1</f>
        <v>44892</v>
      </c>
      <c r="C4" s="14">
        <v>44893</v>
      </c>
      <c r="D4" s="14">
        <v>44894</v>
      </c>
      <c r="E4" s="14">
        <v>44895</v>
      </c>
      <c r="F4" s="14">
        <v>44896</v>
      </c>
      <c r="G4" s="153">
        <v>44897</v>
      </c>
      <c r="H4" s="15">
        <v>44898</v>
      </c>
    </row>
    <row r="5" spans="1:9" s="18" customFormat="1" ht="56.1" customHeight="1" x14ac:dyDescent="0.3">
      <c r="A5" s="17"/>
      <c r="B5" s="16"/>
      <c r="C5" s="16"/>
      <c r="D5" s="16"/>
      <c r="E5" s="16"/>
      <c r="F5" s="16"/>
      <c r="G5" s="47" t="s">
        <v>82</v>
      </c>
      <c r="H5" s="16"/>
    </row>
    <row r="6" spans="1:9" s="6" customFormat="1" ht="24" customHeight="1" x14ac:dyDescent="0.3">
      <c r="A6" s="5"/>
      <c r="B6" s="8">
        <f t="array" ref="B6:H6">DaysAndWeeks+DATE(CalendarYear,12,1)-WEEKDAY(DATE(CalendarYear,12,1),(WeekStart="Monday")+1)+8</f>
        <v>44899</v>
      </c>
      <c r="C6" s="8">
        <v>44900</v>
      </c>
      <c r="D6" s="8">
        <v>44901</v>
      </c>
      <c r="E6" s="8">
        <v>44902</v>
      </c>
      <c r="F6" s="154">
        <v>44903</v>
      </c>
      <c r="G6" s="8">
        <v>44904</v>
      </c>
      <c r="H6" s="8">
        <v>44905</v>
      </c>
    </row>
    <row r="7" spans="1:9" s="18" customFormat="1" ht="56.1" customHeight="1" x14ac:dyDescent="0.3">
      <c r="A7" s="17"/>
      <c r="B7" s="19"/>
      <c r="C7" s="19"/>
      <c r="D7" s="19"/>
      <c r="E7" s="19"/>
      <c r="F7" s="155" t="s">
        <v>83</v>
      </c>
      <c r="G7" s="19"/>
      <c r="H7" s="19"/>
    </row>
    <row r="8" spans="1:9" s="6" customFormat="1" ht="24" customHeight="1" x14ac:dyDescent="0.3">
      <c r="A8" s="5"/>
      <c r="B8" s="7">
        <f t="array" ref="B8:H8">DaysAndWeeks+DATE(CalendarYear,12,1)-WEEKDAY(DATE(CalendarYear,12,1),(WeekStart="Monday")+1)+15</f>
        <v>44906</v>
      </c>
      <c r="C8" s="156">
        <v>44907</v>
      </c>
      <c r="D8" s="7">
        <v>44908</v>
      </c>
      <c r="E8" s="7">
        <v>44909</v>
      </c>
      <c r="F8" s="7">
        <v>44910</v>
      </c>
      <c r="G8" s="7">
        <v>44911</v>
      </c>
      <c r="H8" s="7">
        <v>44912</v>
      </c>
    </row>
    <row r="9" spans="1:9" s="18" customFormat="1" ht="56.1" customHeight="1" x14ac:dyDescent="0.3">
      <c r="A9" s="17"/>
      <c r="B9" s="16"/>
      <c r="C9" s="47" t="s">
        <v>84</v>
      </c>
      <c r="D9" s="16"/>
      <c r="E9" s="16"/>
      <c r="F9" s="16"/>
      <c r="G9" s="16"/>
      <c r="H9" s="16"/>
    </row>
    <row r="10" spans="1:9" s="6" customFormat="1" ht="24" customHeight="1" x14ac:dyDescent="0.3">
      <c r="A10" s="5"/>
      <c r="B10" s="154">
        <f t="array" ref="B10:H10">DaysAndWeeks+DATE(CalendarYear,12,1)-WEEKDAY(DATE(CalendarYear,12,1),(WeekStart="Monday")+1)+22</f>
        <v>44913</v>
      </c>
      <c r="C10" s="8">
        <v>44914</v>
      </c>
      <c r="D10" s="8">
        <v>44915</v>
      </c>
      <c r="E10" s="8">
        <v>44916</v>
      </c>
      <c r="F10" s="8">
        <v>44917</v>
      </c>
      <c r="G10" s="8">
        <v>44918</v>
      </c>
      <c r="H10" s="8">
        <v>44919</v>
      </c>
    </row>
    <row r="11" spans="1:9" s="18" customFormat="1" ht="56.1" customHeight="1" x14ac:dyDescent="0.3">
      <c r="A11" s="17"/>
      <c r="B11" s="155" t="s">
        <v>85</v>
      </c>
      <c r="C11" s="19"/>
      <c r="D11" s="19"/>
      <c r="E11" s="19"/>
      <c r="F11" s="19"/>
      <c r="G11" s="19"/>
      <c r="H11" s="19"/>
    </row>
    <row r="12" spans="1:9" s="6" customFormat="1" ht="24" customHeight="1" x14ac:dyDescent="0.3">
      <c r="A12" s="5"/>
      <c r="B12" s="7">
        <f t="array" ref="B12:H12">DaysAndWeeks+DATE(CalendarYear,12,1)-WEEKDAY(DATE(CalendarYear,12,1),(WeekStart="Monday")+1)+29</f>
        <v>44920</v>
      </c>
      <c r="C12" s="7">
        <v>44921</v>
      </c>
      <c r="D12" s="7">
        <v>44922</v>
      </c>
      <c r="E12" s="7">
        <v>44923</v>
      </c>
      <c r="F12" s="7">
        <v>44924</v>
      </c>
      <c r="G12" s="7">
        <v>44925</v>
      </c>
      <c r="H12" s="7">
        <v>44926</v>
      </c>
    </row>
    <row r="13" spans="1:9" s="18" customFormat="1" ht="56.1" customHeight="1" x14ac:dyDescent="0.3">
      <c r="A13" s="17"/>
      <c r="B13" s="16"/>
      <c r="C13" s="16"/>
      <c r="D13" s="16"/>
      <c r="E13" s="16"/>
      <c r="F13" s="16"/>
      <c r="G13" s="16"/>
      <c r="H13" s="16"/>
    </row>
    <row r="14" spans="1:9" s="6" customFormat="1" ht="24" customHeight="1" x14ac:dyDescent="0.3">
      <c r="A14" s="5"/>
      <c r="B14" s="8">
        <f t="array" ref="B14:C14">DaysAndWeeks+DATE(CalendarYear,12,1)-WEEKDAY(DATE(CalendarYear,12,1),(WeekStart="Monday")+1)+36</f>
        <v>44927</v>
      </c>
      <c r="C14" s="8">
        <v>44928</v>
      </c>
      <c r="D14" s="160" t="s">
        <v>1</v>
      </c>
      <c r="E14" s="160"/>
      <c r="F14" s="160"/>
      <c r="G14" s="160"/>
      <c r="H14" s="161"/>
    </row>
    <row r="15" spans="1:9" s="18" customFormat="1" ht="56.1" customHeight="1" x14ac:dyDescent="0.3">
      <c r="A15" s="17"/>
      <c r="B15" s="19"/>
      <c r="C15" s="19"/>
      <c r="D15" s="162"/>
      <c r="E15" s="162"/>
      <c r="F15" s="162"/>
      <c r="G15" s="162"/>
      <c r="H15" s="163"/>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Automatically determined weekday" sqref="C3:H3"/>
    <dataValidation allowBlank="1" showInputMessage="1" showErrorMessage="1" prompt="December month calendar" sqref="A1"/>
    <dataValidation allowBlank="1" showInputMessage="1" showErrorMessage="1" prompt="The year in this cell is automatically updated based on year entered in January worksheet. Calendar below has dates for previous and next month with lighter font shade" sqref="B2:D2"/>
    <dataValidation allowBlank="1" showInputMessage="1" showErrorMessage="1" prompt="This row contains weekday names for this calendar. This cell contains the starting day of the week. To change week start day, select a new weekday in January worksheet cell L5." sqref="B3"/>
    <dataValidation allowBlank="1" showInputMessage="1" prompt="Enter monthly Notes in cell below" sqref="D14:H14"/>
    <dataValidation allowBlank="1" showInputMessage="1" prompt="Enter monthly Notes in this cell" sqref="D15:H15"/>
    <dataValidation allowBlank="1" showInputMessage="1" showErrorMessage="1" prompt="This row &amp; rows 7, 9, 11, 13, &amp; 15 are cells for entering daily notes related to the calendar day in the cell above." sqref="B5"/>
    <dataValidation allowBlank="1" showInputMessage="1" showErrorMessage="1" prompt="This row &amp; rows 6, 8, 10, 12 &amp; 14 contain calendar days of the week. If this cell doesn’t contain the number 1, then it is a day from the previous month. Enter notes in cell D15." sqref="B4"/>
  </dataValidations>
  <printOptions horizontalCentered="1"/>
  <pageMargins left="0.25" right="0.25" top="0.5" bottom="0.5" header="0.3" footer="0.3"/>
  <pageSetup orientation="landscape" r:id="rId1"/>
  <headerFooter differentFirst="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09032C75149D8141BEBE6351E035E88B" ma:contentTypeVersion="11" ma:contentTypeDescription="Create a new document." ma:contentTypeScope="" ma:versionID="c63a48dc1206ac9e2f598ee333736d41">
  <xsd:schema xmlns:xsd="http://www.w3.org/2001/XMLSchema" xmlns:xs="http://www.w3.org/2001/XMLSchema" xmlns:p="http://schemas.microsoft.com/office/2006/metadata/properties" xmlns:ns3="80955527-d5bb-4ae4-9cf3-0e1a3abb7fa4" xmlns:ns4="9cf4e01b-f0d4-4ff9-8dff-dcabfa1aa289" targetNamespace="http://schemas.microsoft.com/office/2006/metadata/properties" ma:root="true" ma:fieldsID="c8ef85cc390bc99b8029a4c93f98e1ab" ns3:_="" ns4:_="">
    <xsd:import namespace="80955527-d5bb-4ae4-9cf3-0e1a3abb7fa4"/>
    <xsd:import namespace="9cf4e01b-f0d4-4ff9-8dff-dcabfa1aa289"/>
    <xsd:element name="properties">
      <xsd:complexType>
        <xsd:sequence>
          <xsd:element name="documentManagement">
            <xsd:complexType>
              <xsd:all>
                <xsd:element ref="ns3:MediaServiceMetadata" minOccurs="0"/>
                <xsd:element ref="ns3:MediaServiceFastMetadata" minOccurs="0"/>
                <xsd:element ref="ns4:SharedWithUsers" minOccurs="0"/>
                <xsd:element ref="ns4:SharedWithDetails" minOccurs="0"/>
                <xsd:element ref="ns4:SharingHintHash"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0955527-d5bb-4ae4-9cf3-0e1a3abb7fa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Location" ma:index="18"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9cf4e01b-f0d4-4ff9-8dff-dcabfa1aa289"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SharingHintHash" ma:index="12" nillable="true" ma:displayName="Sharing Hint Hash"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F25570A-55E1-442D-9ACD-E24CFAB08C7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0955527-d5bb-4ae4-9cf3-0e1a3abb7fa4"/>
    <ds:schemaRef ds:uri="9cf4e01b-f0d4-4ff9-8dff-dcabfa1aa28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6B20271-DBF4-4EBA-824D-0E74CCAA174D}">
  <ds:schemaRefs>
    <ds:schemaRef ds:uri="http://purl.org/dc/elements/1.1/"/>
    <ds:schemaRef ds:uri="http://purl.org/dc/terms/"/>
    <ds:schemaRef ds:uri="http://schemas.microsoft.com/office/infopath/2007/PartnerControls"/>
    <ds:schemaRef ds:uri="http://schemas.microsoft.com/office/2006/metadata/properties"/>
    <ds:schemaRef ds:uri="http://www.w3.org/XML/1998/namespace"/>
    <ds:schemaRef ds:uri="http://schemas.microsoft.com/office/2006/documentManagement/types"/>
    <ds:schemaRef ds:uri="http://schemas.openxmlformats.org/package/2006/metadata/core-properties"/>
    <ds:schemaRef ds:uri="9cf4e01b-f0d4-4ff9-8dff-dcabfa1aa289"/>
    <ds:schemaRef ds:uri="80955527-d5bb-4ae4-9cf3-0e1a3abb7fa4"/>
    <ds:schemaRef ds:uri="http://purl.org/dc/dcmitype/"/>
  </ds:schemaRefs>
</ds:datastoreItem>
</file>

<file path=customXml/itemProps3.xml><?xml version="1.0" encoding="utf-8"?>
<ds:datastoreItem xmlns:ds="http://schemas.openxmlformats.org/officeDocument/2006/customXml" ds:itemID="{9B8A745B-63BA-4F9A-A6E5-C457B3F40DF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13</vt:i4>
      </vt:variant>
      <vt:variant>
        <vt:lpstr>Named Ranges</vt:lpstr>
      </vt:variant>
      <vt:variant>
        <vt:i4>41</vt:i4>
      </vt:variant>
    </vt:vector>
  </HeadingPairs>
  <TitlesOfParts>
    <vt:vector size="54" baseType="lpstr">
      <vt:lpstr>Shift Work Calendar</vt:lpstr>
      <vt:lpstr>January</vt:lpstr>
      <vt:lpstr>February</vt:lpstr>
      <vt:lpstr>March</vt:lpstr>
      <vt:lpstr>April</vt:lpstr>
      <vt:lpstr>May</vt:lpstr>
      <vt:lpstr>June</vt:lpstr>
      <vt:lpstr>July</vt:lpstr>
      <vt:lpstr>August</vt:lpstr>
      <vt:lpstr>September</vt:lpstr>
      <vt:lpstr>October</vt:lpstr>
      <vt:lpstr>November</vt:lpstr>
      <vt:lpstr>December</vt:lpstr>
      <vt:lpstr>'Shift Work Calendar'!CalendarYear</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April!Print_Area</vt:lpstr>
      <vt:lpstr>August!Print_Area</vt:lpstr>
      <vt:lpstr>December!Print_Area</vt:lpstr>
      <vt:lpstr>February!Print_Area</vt:lpstr>
      <vt:lpstr>January!Print_Area</vt:lpstr>
      <vt:lpstr>July!Print_Area</vt:lpstr>
      <vt:lpstr>June!Print_Area</vt:lpstr>
      <vt:lpstr>March!Print_Area</vt:lpstr>
      <vt:lpstr>May!Print_Area</vt:lpstr>
      <vt:lpstr>November!Print_Area</vt:lpstr>
      <vt:lpstr>October!Print_Area</vt:lpstr>
      <vt:lpstr>September!Print_Area</vt:lpstr>
      <vt:lpstr>Range_Days</vt:lpstr>
      <vt:lpstr>RowTitleRegion1..K3</vt:lpstr>
      <vt:lpstr>WeekStart</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2022-08-22T20:40:45Z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0x01010009032C75149D8141BEBE6351E035E88B</vt:lpwstr>
  </property>
</Properties>
</file>